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 document\New folder\INCOME TAX .A 2020-21\"/>
    </mc:Choice>
  </mc:AlternateContent>
  <bookViews>
    <workbookView xWindow="0" yWindow="0" windowWidth="24000" windowHeight="9735" firstSheet="1" activeTab="3"/>
  </bookViews>
  <sheets>
    <sheet name="Majoduck_SK_1" sheetId="5" state="veryHidden" r:id="rId1"/>
    <sheet name="Input Data" sheetId="13" r:id="rId2"/>
    <sheet name="PAY Details" sheetId="3" r:id="rId3"/>
    <sheet name="I-FORM" sheetId="4" r:id="rId4"/>
    <sheet name="Diffrance" sheetId="18" r:id="rId5"/>
    <sheet name="form16" sheetId="9" r:id="rId6"/>
    <sheet name="accInt (3)" sheetId="17" r:id="rId7"/>
    <sheet name="Sheet1 (2)" sheetId="16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GPF2">[1]GPF!#REF!</definedName>
    <definedName name="_GPF2" localSheetId="6">[1]GPF!#REF!</definedName>
    <definedName name="_GPF2">[1]GPF!#REF!</definedName>
    <definedName name="_Order1" hidden="1">255</definedName>
    <definedName name="ADM">'[2]PAY-DET'!$AB$88</definedName>
    <definedName name="ak" localSheetId="6">[1]BILL!#REF!</definedName>
    <definedName name="ak">[1]BILL!#REF!</definedName>
    <definedName name="ALLTOTAL" localSheetId="6">[1]BILL!#REF!</definedName>
    <definedName name="ALLTOTAL">[1]BILL!#REF!</definedName>
    <definedName name="ASE">'[2]PAY-DET'!$AB$8</definedName>
    <definedName name="bharatiya" localSheetId="6">#REF!</definedName>
    <definedName name="bharatiya" localSheetId="3">'[3]PAY (3)'!#REF!</definedName>
    <definedName name="bharatiya" localSheetId="2">'PAY Details'!#REF!</definedName>
    <definedName name="bharatiya">#REF!</definedName>
    <definedName name="BILL1" localSheetId="6">[1]BILL!#REF!</definedName>
    <definedName name="BILL1">[1]BILL!#REF!</definedName>
    <definedName name="BILL2" localSheetId="6">[1]BILL!#REF!</definedName>
    <definedName name="BILL2">[1]BILL!#REF!</definedName>
    <definedName name="BILL3" localSheetId="6">[1]BILL!#REF!</definedName>
    <definedName name="BILL3">[1]BILL!#REF!</definedName>
    <definedName name="BILL4" localSheetId="6">[1]BILL!#REF!</definedName>
    <definedName name="BILL4">[1]BILL!#REF!</definedName>
    <definedName name="BILL5" localSheetId="6">[1]BILL!#REF!</definedName>
    <definedName name="BILL5">[1]BILL!#REF!</definedName>
    <definedName name="bjw" localSheetId="6">'[4]PAY (3)'!#REF!</definedName>
    <definedName name="bjw" localSheetId="5">'[5]PAY (3)'!#REF!</definedName>
    <definedName name="bjw">'PAY Details'!#REF!</definedName>
    <definedName name="burange" localSheetId="6">#REF!</definedName>
    <definedName name="burange" localSheetId="3">'[3]PAY (3)'!#REF!</definedName>
    <definedName name="burange" localSheetId="2">'PAY Details'!#REF!</definedName>
    <definedName name="burange">#REF!</definedName>
    <definedName name="chk" localSheetId="6">'[4]PAY (3)'!#REF!</definedName>
    <definedName name="chk" localSheetId="5">'[5]PAY (3)'!#REF!</definedName>
    <definedName name="chk">'PAY Details'!#REF!</definedName>
    <definedName name="D.A." localSheetId="6">#REF!</definedName>
    <definedName name="D.A.">#REF!</definedName>
    <definedName name="Dange" localSheetId="6">'[6]Income tax 2003'!#REF!</definedName>
    <definedName name="Dange">'[6]Income tax 2003'!#REF!</definedName>
    <definedName name="debadwaaaar" localSheetId="6">'[4]PAY (3)'!#REF!</definedName>
    <definedName name="debadwaaaar" localSheetId="5">'[5]PAY (3)'!#REF!</definedName>
    <definedName name="debadwaaaar">'PAY Details'!#REF!</definedName>
    <definedName name="deshpande" localSheetId="6">#REF!</definedName>
    <definedName name="deshpande" localSheetId="3">'[3]PAY (3)'!#REF!</definedName>
    <definedName name="deshpande" localSheetId="2">'PAY Details'!#REF!</definedName>
    <definedName name="deshpande">#REF!</definedName>
    <definedName name="dhawad" localSheetId="6">#REF!</definedName>
    <definedName name="dhawad" localSheetId="2">'PAY Details'!#REF!</definedName>
    <definedName name="dhawad">#REF!</definedName>
    <definedName name="dle" localSheetId="6">'[4]PAY (3)'!#REF!</definedName>
    <definedName name="dle" localSheetId="5">'[5]PAY (3)'!#REF!</definedName>
    <definedName name="dle">'PAY Details'!#REF!</definedName>
    <definedName name="dole" localSheetId="6">#REF!</definedName>
    <definedName name="dole" localSheetId="3">'[3]PAY (3)'!#REF!</definedName>
    <definedName name="dole" localSheetId="2">'PAY Details'!#REF!</definedName>
    <definedName name="dole">#REF!</definedName>
    <definedName name="dshpnd" localSheetId="6">'[4]PAY (3)'!#REF!</definedName>
    <definedName name="dshpnd" localSheetId="5">'[5]PAY (3)'!#REF!</definedName>
    <definedName name="dshpnd">'PAY Details'!#REF!</definedName>
    <definedName name="expay" localSheetId="6">#REF!</definedName>
    <definedName name="expay">#REF!</definedName>
    <definedName name="F.C.">'[2]PAY-DET'!$B$168</definedName>
    <definedName name="FACE2" localSheetId="6">[1]F.S.!#REF!</definedName>
    <definedName name="FACE2">[1]F.S.!#REF!</definedName>
    <definedName name="FACE3" localSheetId="6">[1]F.S.!#REF!</definedName>
    <definedName name="FACE3">[1]F.S.!#REF!</definedName>
    <definedName name="FACE4" localSheetId="6">[1]F.S.!#REF!</definedName>
    <definedName name="FACE4">[1]F.S.!#REF!</definedName>
    <definedName name="FACE5" localSheetId="6">[1]F.S.!#REF!</definedName>
    <definedName name="FACE5">[1]F.S.!#REF!</definedName>
    <definedName name="gathe" localSheetId="6">'[7]PAY (3)'!#REF!</definedName>
    <definedName name="gathe" localSheetId="5">'[5]PAY (3)'!#REF!</definedName>
    <definedName name="gathe" localSheetId="3">'[3]PAY (3)'!#REF!</definedName>
    <definedName name="gathe">'PAY Details'!#REF!</definedName>
    <definedName name="giri" localSheetId="6">#REF!</definedName>
    <definedName name="giri" localSheetId="3">'[3]PAY (3)'!#REF!</definedName>
    <definedName name="giri" localSheetId="2">'PAY Details'!#REF!</definedName>
    <definedName name="giri">#REF!</definedName>
    <definedName name="GPF_FRONT" localSheetId="6">'[8]G P F'!#REF!</definedName>
    <definedName name="GPF_FRONT">'[8]G P F'!#REF!</definedName>
    <definedName name="GRPINSURANCE">'[8]DEY   VAJATI:G.I.S.'!$B$2:$DF$310</definedName>
    <definedName name="Gudade" localSheetId="6">'[6]Income tax 2003'!#REF!</definedName>
    <definedName name="Gudade">'[6]Income tax 2003'!#REF!</definedName>
    <definedName name="HDM">'[2]PAY-DET'!$B$88</definedName>
    <definedName name="HGST">'[2]PAY-DET'!$AA$49</definedName>
    <definedName name="hirulekar" localSheetId="6">#REF!</definedName>
    <definedName name="hirulekar" localSheetId="3">'[3]PAY (3)'!#REF!</definedName>
    <definedName name="hirulekar" localSheetId="2">'PAY Details'!#REF!</definedName>
    <definedName name="hirulekar">#REF!</definedName>
    <definedName name="HOUSERENT">'[8]DEY   VAJATI:H.R.A.'!$B$2:$BR$1359</definedName>
    <definedName name="INCTABLE" localSheetId="6">#REF!</definedName>
    <definedName name="INCTABLE">#REF!</definedName>
    <definedName name="J.C.">'[2]PAY-DET'!$AB$248</definedName>
    <definedName name="jaunjale" localSheetId="6">#REF!</definedName>
    <definedName name="jaunjale" localSheetId="3">'[3]PAY (3)'!#REF!</definedName>
    <definedName name="jaunjale" localSheetId="2">'PAY Details'!#REF!</definedName>
    <definedName name="jaunjale">#REF!</definedName>
    <definedName name="jlnprkr" localSheetId="6">'[9]PAY (3)'!#REF!</definedName>
    <definedName name="jlnprkr" localSheetId="5">'[5]PAY (3)'!#REF!</definedName>
    <definedName name="jlnprkr">'PAY Details'!#REF!</definedName>
    <definedName name="joshi" localSheetId="6">#REF!</definedName>
    <definedName name="joshi" localSheetId="3">'[3]PAY (3)'!#REF!</definedName>
    <definedName name="joshi" localSheetId="2">'PAY Details'!#REF!</definedName>
    <definedName name="joshi">#REF!</definedName>
    <definedName name="kadu" localSheetId="6">#REF!</definedName>
    <definedName name="kadu" localSheetId="3">'[3]PAY (3)'!#REF!</definedName>
    <definedName name="kadu" localSheetId="2">'PAY Details'!#REF!</definedName>
    <definedName name="kadu">#REF!</definedName>
    <definedName name="khan" localSheetId="6">#REF!</definedName>
    <definedName name="khan" localSheetId="3">'[3]PAY (3)'!#REF!</definedName>
    <definedName name="khan" localSheetId="2">'PAY Details'!#REF!</definedName>
    <definedName name="khan">#REF!</definedName>
    <definedName name="kmrwr" localSheetId="6">'[4]PAY (3)'!#REF!</definedName>
    <definedName name="kmrwr" localSheetId="5">'[5]PAY (3)'!#REF!</definedName>
    <definedName name="kmrwr">'PAY Details'!#REF!</definedName>
    <definedName name="kpd" localSheetId="6">'[7]PAY (3)'!#REF!</definedName>
    <definedName name="kpd" localSheetId="5">'[5]PAY (3)'!#REF!</definedName>
    <definedName name="kpd" localSheetId="3">'[3]PAY (3)'!#REF!</definedName>
    <definedName name="kpd">'PAY Details'!#REF!</definedName>
    <definedName name="ksrkr" localSheetId="6">'[4]PAY (3)'!#REF!</definedName>
    <definedName name="ksrkr" localSheetId="5">'[5]PAY (3)'!#REF!</definedName>
    <definedName name="ksrkr">'PAY Details'!#REF!</definedName>
    <definedName name="kthd" localSheetId="6">'[4]PAY (3)'!#REF!</definedName>
    <definedName name="kthd" localSheetId="5">'[5]PAY (3)'!#REF!</definedName>
    <definedName name="kthd">'PAY Details'!#REF!</definedName>
    <definedName name="mrhkr" localSheetId="6">'[9]PAY (3)'!#REF!</definedName>
    <definedName name="mrhkr" localSheetId="5">'[5]PAY (3)'!#REF!</definedName>
    <definedName name="mrhkr">'PAY Details'!#REF!</definedName>
    <definedName name="mrlkr" localSheetId="6">'[4]PAY (3)'!#REF!</definedName>
    <definedName name="mrlkr" localSheetId="5">'[5]PAY (3)'!#REF!</definedName>
    <definedName name="mrlkr">'PAY Details'!#REF!</definedName>
    <definedName name="Nawaklar" localSheetId="6">'[6]Income tax 2003'!#REF!</definedName>
    <definedName name="Nawaklar">'[6]Income tax 2003'!#REF!</definedName>
    <definedName name="PAGE1" localSheetId="6">[1]BILL!#REF!</definedName>
    <definedName name="PAGE1">[1]BILL!#REF!</definedName>
    <definedName name="PAGE2" localSheetId="6">[1]BILL!#REF!</definedName>
    <definedName name="PAGE2" localSheetId="5">[10]BILL!#REF!</definedName>
    <definedName name="PAGE2" localSheetId="3">[10]BILL!#REF!</definedName>
    <definedName name="PAGE2" localSheetId="2">[10]BILL!#REF!</definedName>
    <definedName name="PAGE2">[1]BILL!#REF!</definedName>
    <definedName name="pant" localSheetId="6">#REF!</definedName>
    <definedName name="pant" localSheetId="3">'[3]PAY (3)'!#REF!</definedName>
    <definedName name="pant" localSheetId="2">'PAY Details'!#REF!</definedName>
    <definedName name="pant">#REF!</definedName>
    <definedName name="Panure" localSheetId="6">'[6]Income tax 2003'!#REF!</definedName>
    <definedName name="Panure">'[6]Income tax 2003'!#REF!</definedName>
    <definedName name="paranja" localSheetId="6">'[7]PAY (3)'!#REF!</definedName>
    <definedName name="paranja" localSheetId="5">'[5]PAY (3)'!#REF!</definedName>
    <definedName name="paranja" localSheetId="3">'[3]PAY (3)'!#REF!</definedName>
    <definedName name="paranja">'PAY Details'!#REF!</definedName>
    <definedName name="paranjaape" localSheetId="6">'[7]PAY (3)'!#REF!</definedName>
    <definedName name="paranjaape" localSheetId="5">'[5]PAY (3)'!#REF!</definedName>
    <definedName name="paranjaape" localSheetId="3">'[3]PAY (3)'!#REF!</definedName>
    <definedName name="paranjaape">'PAY Details'!#REF!</definedName>
    <definedName name="paranjape" localSheetId="6">#REF!</definedName>
    <definedName name="paranjape" localSheetId="3">'[3]PAY (3)'!#REF!</definedName>
    <definedName name="paranjape" localSheetId="2">'PAY Details'!#REF!</definedName>
    <definedName name="paranjape">#REF!</definedName>
    <definedName name="Patankar" localSheetId="6">'[6]Income tax 2003'!#REF!</definedName>
    <definedName name="Patankar">'[6]Income tax 2003'!#REF!</definedName>
    <definedName name="PEON">'[2]PAY-DET'!$AB$568</definedName>
    <definedName name="phansalkar" localSheetId="6">#REF!</definedName>
    <definedName name="phansalkar" localSheetId="3">'[3]PAY (3)'!#REF!</definedName>
    <definedName name="phansalkar" localSheetId="2">'PAY Details'!#REF!</definedName>
    <definedName name="phansalkar">#REF!</definedName>
    <definedName name="pkhl" localSheetId="6">'[4]PAY (3)'!#REF!</definedName>
    <definedName name="pkhl" localSheetId="5">'[5]PAY (3)'!#REF!</definedName>
    <definedName name="pkhl">'PAY Details'!#REF!</definedName>
    <definedName name="potdukhe" localSheetId="6">'[4]PAY (3)'!#REF!</definedName>
    <definedName name="potdukhe" localSheetId="5">'[5]PAY (3)'!#REF!</definedName>
    <definedName name="potdukhe">'PAY Details'!#REF!</definedName>
    <definedName name="_xlnm.Print_Area" localSheetId="5">form16!$A$1:$H$106</definedName>
    <definedName name="_xlnm.Print_Area" localSheetId="3">'I-FORM'!$A$1:$L$57</definedName>
    <definedName name="_xlnm.Print_Area" localSheetId="1">'Input Data'!$A$2:$D$32</definedName>
    <definedName name="_xlnm.Print_Area" localSheetId="2">'PAY Details'!$A$1:$X$27</definedName>
    <definedName name="_xlnm.Print_Titles" localSheetId="2">'PAY Details'!$1:$6</definedName>
    <definedName name="ptdkhe" localSheetId="6">'[4]PAY (3)'!#REF!</definedName>
    <definedName name="ptdkhe" localSheetId="5">'[5]PAY (3)'!#REF!</definedName>
    <definedName name="ptdkhe">'PAY Details'!#REF!</definedName>
    <definedName name="Punse" localSheetId="6">'[6]Income tax 2003'!#REF!</definedName>
    <definedName name="Punse">'[6]Income tax 2003'!#REF!</definedName>
    <definedName name="rohankar" localSheetId="6">#REF!</definedName>
    <definedName name="rohankar" localSheetId="3">'[3]PAY (3)'!#REF!</definedName>
    <definedName name="rohankar" localSheetId="2">'PAY Details'!#REF!</definedName>
    <definedName name="rohankar">#REF!</definedName>
    <definedName name="rut" localSheetId="6">'[4]PAY (3)'!#REF!</definedName>
    <definedName name="rut" localSheetId="5">'[5]PAY (3)'!#REF!</definedName>
    <definedName name="rut">'PAY Details'!#REF!</definedName>
    <definedName name="S.D.E.">'[2]PAY-DET'!$B$47</definedName>
    <definedName name="S.E.">'[2]PAY-DET'!$B$8</definedName>
    <definedName name="SC">'[2]PAY-DET'!$AB$168</definedName>
    <definedName name="sdr" localSheetId="6">'[4]PAY (3)'!#REF!</definedName>
    <definedName name="sdr" localSheetId="5">'[5]PAY (3)'!#REF!</definedName>
    <definedName name="sdr">'PAY Details'!#REF!</definedName>
    <definedName name="SEC.ENG.">'[2]PAY-DET'!$AB$448</definedName>
    <definedName name="shahade" localSheetId="6">#REF!</definedName>
    <definedName name="shahade" localSheetId="3">'[3]PAY (3)'!#REF!</definedName>
    <definedName name="shahade" localSheetId="2">'PAY Details'!#REF!</definedName>
    <definedName name="shahade">#REF!</definedName>
    <definedName name="sherekar" localSheetId="6">#REF!</definedName>
    <definedName name="sherekar" localSheetId="3">'[3]PAY (3)'!#REF!</definedName>
    <definedName name="sherekar" localSheetId="2">'PAY Details'!#REF!</definedName>
    <definedName name="sherekar">#REF!</definedName>
    <definedName name="shnd" localSheetId="6">'[4]PAY (3)'!#REF!</definedName>
    <definedName name="shnd" localSheetId="5">'[5]PAY (3)'!#REF!</definedName>
    <definedName name="shnd">'PAY Details'!#REF!</definedName>
    <definedName name="somkuwar" localSheetId="6">#REF!</definedName>
    <definedName name="somkuwar" localSheetId="3">'[3]PAY (3)'!#REF!</definedName>
    <definedName name="somkuwar" localSheetId="2">'PAY Details'!#REF!</definedName>
    <definedName name="somkuwar">#REF!</definedName>
    <definedName name="srwnkhd" localSheetId="6">'[4]PAY (3)'!#REF!</definedName>
    <definedName name="srwnkhd" localSheetId="5">'[5]PAY (3)'!#REF!</definedName>
    <definedName name="srwnkhd">'PAY Details'!#REF!</definedName>
    <definedName name="sswnkhde" localSheetId="6">'[9]PAY (3)'!#REF!</definedName>
    <definedName name="sswnkhde" localSheetId="5">'[5]PAY (3)'!#REF!</definedName>
    <definedName name="sswnkhde">'PAY Details'!#REF!</definedName>
    <definedName name="SUPDT">'[2]PAY-DET'!$AB$128</definedName>
    <definedName name="Thakare" localSheetId="6">'[6]Income tax 2003'!#REF!</definedName>
    <definedName name="Thakare">'[6]Income tax 2003'!#REF!</definedName>
    <definedName name="TOTAL1" localSheetId="6">[1]BILL!#REF!</definedName>
    <definedName name="TOTAL1">[1]BILL!#REF!</definedName>
    <definedName name="TOTAL2" localSheetId="6">[1]BILL!#REF!</definedName>
    <definedName name="TOTAL2">[1]BILL!#REF!</definedName>
    <definedName name="TOTAL3" localSheetId="6">[1]BILL!#REF!</definedName>
    <definedName name="TOTAL3">[1]BILL!#REF!</definedName>
    <definedName name="TOTAL4" localSheetId="6">[1]BILL!#REF!</definedName>
    <definedName name="TOTAL4">[1]BILL!#REF!</definedName>
    <definedName name="TOTAL5" localSheetId="6">[1]BILL!#REF!</definedName>
    <definedName name="TOTAL5">[1]BILL!#REF!</definedName>
    <definedName name="TOTAL6" localSheetId="6">[1]BILL!#REF!</definedName>
    <definedName name="TOTAL6">[1]BILL!#REF!</definedName>
    <definedName name="TOTALALL" localSheetId="6">[1]BILL!#REF!</definedName>
    <definedName name="TOTALALL">[1]BILL!#REF!</definedName>
    <definedName name="TREACER">'[2]PAY-DET'!$B$128</definedName>
    <definedName name="TRY_SLIP" localSheetId="6">'[8]TRY. SLIP'!#REF!</definedName>
    <definedName name="TRY_SLIP">'[8]TRY. SLIP'!#REF!</definedName>
    <definedName name="umap" localSheetId="6">#REF!</definedName>
    <definedName name="umap" localSheetId="3">'[3]PAY (3)'!#REF!</definedName>
    <definedName name="umap" localSheetId="2">'PAY Details'!#REF!</definedName>
    <definedName name="umap">#REF!</definedName>
    <definedName name="wankhade" localSheetId="6">#REF!</definedName>
    <definedName name="wankhade" localSheetId="3">'[3]PAY (3)'!#REF!</definedName>
    <definedName name="wankhade" localSheetId="2">'PAY Details'!#REF!</definedName>
    <definedName name="wankhade">#REF!</definedName>
    <definedName name="ywlkr" localSheetId="6">'[4]PAY (3)'!#REF!</definedName>
    <definedName name="ywlkr" localSheetId="5">'[5]PAY (3)'!#REF!</definedName>
    <definedName name="ywlkr">'PAY Details'!#REF!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4" l="1"/>
  <c r="D18" i="18"/>
  <c r="D19" i="18" s="1"/>
  <c r="E13" i="18"/>
  <c r="E8" i="18"/>
  <c r="N28" i="18"/>
  <c r="R49" i="4"/>
  <c r="R47" i="4"/>
  <c r="E15" i="18"/>
  <c r="E14" i="18"/>
  <c r="E18" i="18" l="1"/>
  <c r="E19" i="18" s="1"/>
  <c r="L29" i="18" s="1"/>
  <c r="O27" i="18"/>
  <c r="O25" i="18"/>
  <c r="O26" i="18"/>
  <c r="D20" i="18" l="1"/>
  <c r="L30" i="18"/>
  <c r="L25" i="18"/>
  <c r="L26" i="18"/>
  <c r="L27" i="18"/>
  <c r="L28" i="18"/>
  <c r="D21" i="18" l="1"/>
  <c r="D22" i="18" s="1"/>
  <c r="E20" i="18"/>
  <c r="D23" i="18" l="1"/>
  <c r="E21" i="18"/>
  <c r="E22" i="18" s="1"/>
  <c r="I21" i="18" s="1"/>
  <c r="I22" i="18" s="1"/>
  <c r="E23" i="18" l="1"/>
  <c r="D25" i="18" l="1"/>
  <c r="C23" i="18"/>
  <c r="M43" i="4" l="1"/>
  <c r="R52" i="4"/>
  <c r="R51" i="4"/>
  <c r="R50" i="4"/>
  <c r="R48" i="4"/>
  <c r="J44" i="4" s="1"/>
  <c r="V49" i="4"/>
  <c r="V48" i="4"/>
  <c r="V47" i="4"/>
  <c r="U52" i="4"/>
  <c r="U53" i="4" s="1"/>
  <c r="V51" i="4"/>
  <c r="U50" i="4"/>
  <c r="L28" i="4"/>
  <c r="L29" i="4" s="1"/>
  <c r="E10" i="3"/>
  <c r="C11" i="3"/>
  <c r="A30" i="13"/>
  <c r="A21" i="13"/>
  <c r="A22" i="13" s="1"/>
  <c r="A23" i="13" s="1"/>
  <c r="A24" i="13" s="1"/>
  <c r="A25" i="13" s="1"/>
  <c r="A26" i="13" s="1"/>
  <c r="N16" i="4"/>
  <c r="J46" i="4" l="1"/>
  <c r="J47" i="4" s="1"/>
  <c r="J48" i="4" s="1"/>
  <c r="AA22" i="3"/>
  <c r="U17" i="3" l="1"/>
  <c r="K17" i="3"/>
  <c r="K18" i="3" s="1"/>
  <c r="W20" i="3" l="1"/>
  <c r="X20" i="3" l="1"/>
  <c r="V7" i="3"/>
  <c r="T7" i="3"/>
  <c r="K8" i="3"/>
  <c r="K9" i="3" s="1"/>
  <c r="H7" i="3"/>
  <c r="K10" i="3" l="1"/>
  <c r="K11" i="3" l="1"/>
  <c r="K12" i="3" l="1"/>
  <c r="K13" i="3" l="1"/>
  <c r="K14" i="3" l="1"/>
  <c r="K15" i="3" l="1"/>
  <c r="K16" i="3" l="1"/>
  <c r="K22" i="3" s="1"/>
  <c r="A8" i="3" l="1"/>
  <c r="E30" i="9" l="1"/>
  <c r="S7" i="3" l="1"/>
  <c r="S8" i="3" s="1"/>
  <c r="S9" i="3" s="1"/>
  <c r="S10" i="3" s="1"/>
  <c r="S11" i="3" s="1"/>
  <c r="S12" i="3" l="1"/>
  <c r="S13" i="3" s="1"/>
  <c r="S14" i="3" s="1"/>
  <c r="S15" i="3" s="1"/>
  <c r="S16" i="3" s="1"/>
  <c r="S17" i="3" s="1"/>
  <c r="S18" i="3" s="1"/>
  <c r="E54" i="9"/>
  <c r="E46" i="9" l="1"/>
  <c r="H25" i="17" l="1"/>
  <c r="H20" i="17"/>
  <c r="D10" i="17"/>
  <c r="D11" i="17" s="1"/>
  <c r="D9" i="17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F8" i="17"/>
  <c r="I8" i="17" s="1"/>
  <c r="E8" i="17"/>
  <c r="C9" i="17" s="1"/>
  <c r="E9" i="17" l="1"/>
  <c r="F9" i="17"/>
  <c r="I9" i="17" s="1"/>
  <c r="D12" i="17"/>
  <c r="D13" i="17" s="1"/>
  <c r="D14" i="17" s="1"/>
  <c r="D15" i="17" s="1"/>
  <c r="D16" i="17" s="1"/>
  <c r="D17" i="17" s="1"/>
  <c r="D18" i="17" s="1"/>
  <c r="D19" i="17" s="1"/>
  <c r="C10" i="17"/>
  <c r="D20" i="17" l="1"/>
  <c r="F10" i="17"/>
  <c r="E10" i="17"/>
  <c r="C11" i="17" l="1"/>
  <c r="I10" i="17"/>
  <c r="E11" i="17" l="1"/>
  <c r="F11" i="17"/>
  <c r="I11" i="17" l="1"/>
  <c r="C12" i="17"/>
  <c r="E12" i="17" l="1"/>
  <c r="F12" i="17"/>
  <c r="I12" i="17" l="1"/>
  <c r="C13" i="17"/>
  <c r="E13" i="17" l="1"/>
  <c r="F13" i="17"/>
  <c r="I13" i="17" l="1"/>
  <c r="C14" i="17"/>
  <c r="F14" i="17" l="1"/>
  <c r="I14" i="17" s="1"/>
  <c r="E14" i="17"/>
  <c r="C15" i="17" s="1"/>
  <c r="E15" i="17" l="1"/>
  <c r="C16" i="17" s="1"/>
  <c r="F15" i="17"/>
  <c r="I15" i="17" s="1"/>
  <c r="E16" i="17" l="1"/>
  <c r="C17" i="17" s="1"/>
  <c r="F16" i="17"/>
  <c r="I16" i="17" s="1"/>
  <c r="E17" i="17" l="1"/>
  <c r="C18" i="17" s="1"/>
  <c r="F17" i="17"/>
  <c r="I17" i="17" s="1"/>
  <c r="E18" i="17" l="1"/>
  <c r="C19" i="17" s="1"/>
  <c r="F18" i="17"/>
  <c r="I18" i="17" s="1"/>
  <c r="E19" i="17" l="1"/>
  <c r="E20" i="17" s="1"/>
  <c r="F19" i="17"/>
  <c r="C20" i="17"/>
  <c r="F25" i="17" l="1"/>
  <c r="F27" i="17" s="1"/>
  <c r="F22" i="17"/>
  <c r="I19" i="17"/>
  <c r="I20" i="17" s="1"/>
  <c r="F20" i="17"/>
  <c r="C7" i="3" l="1"/>
  <c r="Y22" i="3"/>
  <c r="BD7" i="3" l="1"/>
  <c r="BE7" i="3" s="1"/>
  <c r="BG7" i="3" s="1"/>
  <c r="F7" i="3"/>
  <c r="D7" i="3"/>
  <c r="O7" i="3" s="1"/>
  <c r="L19" i="3"/>
  <c r="W19" i="3"/>
  <c r="J7" i="3" l="1"/>
  <c r="N7" i="3"/>
  <c r="BF7" i="3"/>
  <c r="BI7" i="3" s="1"/>
  <c r="X19" i="3"/>
  <c r="BH7" i="3" l="1"/>
  <c r="BJ7" i="3"/>
  <c r="BK7" i="3" s="1"/>
  <c r="I7" i="3"/>
  <c r="H38" i="4" l="1"/>
  <c r="G7" i="3" l="1"/>
  <c r="L7" i="3" s="1"/>
  <c r="G8" i="3" l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E65" i="9"/>
  <c r="G65" i="9" s="1"/>
  <c r="E71" i="9"/>
  <c r="G71" i="9" s="1"/>
  <c r="E70" i="9"/>
  <c r="G70" i="9" s="1"/>
  <c r="E69" i="9"/>
  <c r="G69" i="9" s="1"/>
  <c r="E67" i="9"/>
  <c r="G67" i="9" s="1"/>
  <c r="E66" i="9"/>
  <c r="G66" i="9" s="1"/>
  <c r="E64" i="9"/>
  <c r="G64" i="9" s="1"/>
  <c r="E63" i="9"/>
  <c r="G63" i="9" s="1"/>
  <c r="E62" i="9"/>
  <c r="G62" i="9" s="1"/>
  <c r="E53" i="9"/>
  <c r="E52" i="9"/>
  <c r="E51" i="9"/>
  <c r="E50" i="9"/>
  <c r="E49" i="9"/>
  <c r="E48" i="9"/>
  <c r="E47" i="9"/>
  <c r="E38" i="9"/>
  <c r="G38" i="9" s="1"/>
  <c r="E35" i="9"/>
  <c r="G37" i="9" s="1"/>
  <c r="D8" i="9"/>
  <c r="A3" i="13"/>
  <c r="A4" i="13" s="1"/>
  <c r="A5" i="13" s="1"/>
  <c r="A6" i="13" s="1"/>
  <c r="A7" i="13" s="1"/>
  <c r="A9" i="13" s="1"/>
  <c r="A10" i="13" s="1"/>
  <c r="A11" i="13" s="1"/>
  <c r="A12" i="13" s="1"/>
  <c r="A14" i="13" s="1"/>
  <c r="A15" i="13" s="1"/>
  <c r="A16" i="13" s="1"/>
  <c r="G22" i="3" l="1"/>
  <c r="A7" i="9"/>
  <c r="A6" i="9"/>
  <c r="A5" i="9"/>
  <c r="A2" i="4"/>
  <c r="A2" i="3" s="1"/>
  <c r="B4" i="4"/>
  <c r="C26" i="3" l="1"/>
  <c r="R482" i="16"/>
  <c r="R481" i="16"/>
  <c r="R480" i="16"/>
  <c r="R479" i="16"/>
  <c r="R478" i="16"/>
  <c r="R477" i="16"/>
  <c r="R476" i="16"/>
  <c r="R475" i="16"/>
  <c r="R474" i="16"/>
  <c r="R473" i="16"/>
  <c r="R472" i="16"/>
  <c r="R471" i="16"/>
  <c r="R470" i="16"/>
  <c r="R469" i="16"/>
  <c r="R468" i="16"/>
  <c r="R467" i="16"/>
  <c r="R466" i="16"/>
  <c r="R465" i="16"/>
  <c r="R464" i="16"/>
  <c r="R463" i="16"/>
  <c r="R462" i="16"/>
  <c r="R461" i="16"/>
  <c r="R460" i="16"/>
  <c r="R459" i="16"/>
  <c r="R458" i="16"/>
  <c r="R457" i="16"/>
  <c r="R456" i="16"/>
  <c r="R455" i="16"/>
  <c r="R454" i="16"/>
  <c r="R453" i="16"/>
  <c r="R452" i="16"/>
  <c r="R451" i="16"/>
  <c r="R450" i="16"/>
  <c r="R449" i="16"/>
  <c r="R448" i="16"/>
  <c r="R447" i="16"/>
  <c r="R446" i="16"/>
  <c r="R445" i="16"/>
  <c r="R444" i="16"/>
  <c r="R443" i="16"/>
  <c r="R442" i="16"/>
  <c r="R441" i="16"/>
  <c r="R440" i="16"/>
  <c r="R439" i="16"/>
  <c r="R438" i="16"/>
  <c r="R437" i="16"/>
  <c r="R436" i="16"/>
  <c r="R435" i="16"/>
  <c r="R434" i="16"/>
  <c r="R433" i="16"/>
  <c r="R432" i="16"/>
  <c r="R431" i="16"/>
  <c r="R430" i="16"/>
  <c r="R429" i="16"/>
  <c r="R428" i="16"/>
  <c r="R427" i="16"/>
  <c r="R426" i="16"/>
  <c r="R425" i="16"/>
  <c r="R424" i="16"/>
  <c r="R423" i="16"/>
  <c r="R422" i="16"/>
  <c r="R421" i="16"/>
  <c r="R420" i="16"/>
  <c r="R419" i="16"/>
  <c r="R418" i="16"/>
  <c r="R417" i="16"/>
  <c r="R416" i="16"/>
  <c r="R415" i="16"/>
  <c r="R414" i="16"/>
  <c r="R413" i="16"/>
  <c r="R412" i="16"/>
  <c r="R411" i="16"/>
  <c r="R410" i="16"/>
  <c r="R409" i="16"/>
  <c r="R408" i="16"/>
  <c r="R407" i="16"/>
  <c r="R406" i="16"/>
  <c r="R405" i="16"/>
  <c r="R404" i="16"/>
  <c r="R403" i="16"/>
  <c r="R402" i="16"/>
  <c r="R401" i="16"/>
  <c r="R400" i="16"/>
  <c r="R399" i="16"/>
  <c r="R398" i="16"/>
  <c r="R397" i="16"/>
  <c r="R396" i="16"/>
  <c r="R395" i="16"/>
  <c r="R394" i="16"/>
  <c r="R393" i="16"/>
  <c r="R392" i="16"/>
  <c r="R391" i="16"/>
  <c r="R390" i="16"/>
  <c r="R389" i="16"/>
  <c r="R388" i="16"/>
  <c r="R387" i="16"/>
  <c r="R386" i="16"/>
  <c r="R385" i="16"/>
  <c r="R384" i="16"/>
  <c r="R383" i="16"/>
  <c r="R382" i="16"/>
  <c r="R381" i="16"/>
  <c r="R380" i="16"/>
  <c r="R379" i="16"/>
  <c r="R378" i="16"/>
  <c r="R377" i="16"/>
  <c r="R376" i="16"/>
  <c r="R375" i="16"/>
  <c r="R374" i="16"/>
  <c r="R373" i="16"/>
  <c r="R372" i="16"/>
  <c r="R371" i="16"/>
  <c r="R370" i="16"/>
  <c r="R369" i="16"/>
  <c r="R368" i="16"/>
  <c r="R367" i="16"/>
  <c r="R366" i="16"/>
  <c r="R365" i="16"/>
  <c r="R364" i="16"/>
  <c r="R363" i="16"/>
  <c r="R362" i="16"/>
  <c r="R361" i="16"/>
  <c r="R360" i="16"/>
  <c r="R359" i="16"/>
  <c r="R358" i="16"/>
  <c r="R357" i="16"/>
  <c r="R356" i="16"/>
  <c r="R355" i="16"/>
  <c r="R354" i="16"/>
  <c r="R353" i="16"/>
  <c r="R352" i="16"/>
  <c r="R351" i="16"/>
  <c r="R350" i="16"/>
  <c r="R349" i="16"/>
  <c r="R348" i="16"/>
  <c r="R347" i="16"/>
  <c r="R346" i="16"/>
  <c r="R345" i="16"/>
  <c r="R344" i="16"/>
  <c r="R343" i="16"/>
  <c r="R342" i="16"/>
  <c r="R341" i="16"/>
  <c r="R340" i="16"/>
  <c r="R339" i="16"/>
  <c r="R338" i="16"/>
  <c r="R337" i="16"/>
  <c r="R336" i="16"/>
  <c r="R335" i="16"/>
  <c r="R334" i="16"/>
  <c r="R333" i="16"/>
  <c r="R332" i="16"/>
  <c r="R331" i="16"/>
  <c r="R330" i="16"/>
  <c r="R329" i="16"/>
  <c r="R328" i="16"/>
  <c r="R327" i="16"/>
  <c r="R326" i="16"/>
  <c r="R325" i="16"/>
  <c r="R324" i="16"/>
  <c r="R323" i="16"/>
  <c r="R322" i="16"/>
  <c r="R321" i="16"/>
  <c r="R320" i="16"/>
  <c r="R319" i="16"/>
  <c r="R318" i="16"/>
  <c r="R317" i="16"/>
  <c r="R316" i="16"/>
  <c r="R315" i="16"/>
  <c r="R314" i="16"/>
  <c r="R313" i="16"/>
  <c r="R312" i="16"/>
  <c r="R311" i="16"/>
  <c r="R310" i="16"/>
  <c r="R309" i="16"/>
  <c r="R308" i="16"/>
  <c r="R307" i="16"/>
  <c r="R306" i="16"/>
  <c r="R305" i="16"/>
  <c r="R304" i="16"/>
  <c r="R303" i="16"/>
  <c r="R302" i="16"/>
  <c r="R301" i="16"/>
  <c r="R300" i="16"/>
  <c r="R299" i="16"/>
  <c r="R298" i="16"/>
  <c r="R297" i="16"/>
  <c r="R296" i="16"/>
  <c r="R295" i="16"/>
  <c r="R294" i="16"/>
  <c r="R293" i="16"/>
  <c r="R292" i="16"/>
  <c r="R291" i="16"/>
  <c r="R290" i="16"/>
  <c r="R289" i="16"/>
  <c r="R288" i="16"/>
  <c r="R287" i="16"/>
  <c r="R286" i="16"/>
  <c r="R285" i="16"/>
  <c r="R284" i="16"/>
  <c r="R283" i="16"/>
  <c r="R282" i="16"/>
  <c r="R281" i="16"/>
  <c r="R280" i="16"/>
  <c r="R279" i="16"/>
  <c r="R278" i="16"/>
  <c r="R277" i="16"/>
  <c r="R276" i="16"/>
  <c r="R275" i="16"/>
  <c r="R274" i="16"/>
  <c r="R273" i="16"/>
  <c r="R272" i="16"/>
  <c r="R271" i="16"/>
  <c r="R270" i="16"/>
  <c r="R269" i="16"/>
  <c r="R268" i="16"/>
  <c r="R267" i="16"/>
  <c r="R266" i="16"/>
  <c r="R265" i="16"/>
  <c r="R264" i="16"/>
  <c r="R263" i="16"/>
  <c r="R262" i="16"/>
  <c r="R261" i="16"/>
  <c r="R260" i="16"/>
  <c r="R259" i="16"/>
  <c r="R258" i="16"/>
  <c r="R257" i="16"/>
  <c r="R256" i="16"/>
  <c r="R255" i="16"/>
  <c r="R254" i="16"/>
  <c r="R253" i="16"/>
  <c r="R252" i="16"/>
  <c r="R251" i="16"/>
  <c r="R250" i="16"/>
  <c r="R249" i="16"/>
  <c r="R248" i="16"/>
  <c r="R247" i="16"/>
  <c r="R246" i="16"/>
  <c r="R245" i="16"/>
  <c r="R244" i="16"/>
  <c r="R243" i="16"/>
  <c r="R242" i="16"/>
  <c r="R241" i="16"/>
  <c r="R240" i="16"/>
  <c r="R239" i="16"/>
  <c r="R238" i="16"/>
  <c r="R237" i="16"/>
  <c r="R236" i="16"/>
  <c r="R235" i="16"/>
  <c r="R234" i="16"/>
  <c r="C146" i="16"/>
  <c r="C141" i="16"/>
  <c r="K142" i="16" s="1"/>
  <c r="C136" i="16"/>
  <c r="H137" i="16" s="1"/>
  <c r="J132" i="16"/>
  <c r="P132" i="16" s="1"/>
  <c r="P134" i="16" s="1"/>
  <c r="C131" i="16"/>
  <c r="C126" i="16"/>
  <c r="L127" i="16" s="1"/>
  <c r="C121" i="16"/>
  <c r="C116" i="16"/>
  <c r="C111" i="16"/>
  <c r="C112" i="16" s="1"/>
  <c r="C113" i="16" s="1"/>
  <c r="F112" i="16" s="1"/>
  <c r="C106" i="16"/>
  <c r="I107" i="16" s="1"/>
  <c r="C101" i="16"/>
  <c r="K102" i="16" s="1"/>
  <c r="C96" i="16"/>
  <c r="C91" i="16"/>
  <c r="I92" i="16" s="1"/>
  <c r="C86" i="16"/>
  <c r="I87" i="16" s="1"/>
  <c r="C81" i="16"/>
  <c r="J82" i="16" s="1"/>
  <c r="P82" i="16" s="1"/>
  <c r="P83" i="16" s="1"/>
  <c r="C76" i="16"/>
  <c r="C71" i="16"/>
  <c r="C66" i="16"/>
  <c r="C61" i="16"/>
  <c r="C56" i="16"/>
  <c r="C51" i="16"/>
  <c r="H52" i="16" s="1"/>
  <c r="C46" i="16"/>
  <c r="J47" i="16" s="1"/>
  <c r="P47" i="16" s="1"/>
  <c r="C41" i="16"/>
  <c r="H42" i="16" s="1"/>
  <c r="C36" i="16"/>
  <c r="J37" i="16" s="1"/>
  <c r="P37" i="16" s="1"/>
  <c r="C31" i="16"/>
  <c r="H32" i="16" s="1"/>
  <c r="C26" i="16"/>
  <c r="J27" i="16" s="1"/>
  <c r="P27" i="16" s="1"/>
  <c r="C21" i="16"/>
  <c r="C16" i="16"/>
  <c r="C11" i="16"/>
  <c r="H12" i="16" s="1"/>
  <c r="C6" i="16"/>
  <c r="J7" i="16" s="1"/>
  <c r="P7" i="16" s="1"/>
  <c r="R5" i="16"/>
  <c r="R4" i="16"/>
  <c r="R3" i="16"/>
  <c r="R2" i="16"/>
  <c r="J57" i="4"/>
  <c r="V27" i="3" s="1"/>
  <c r="J56" i="4"/>
  <c r="V26" i="3" s="1"/>
  <c r="J102" i="16" l="1"/>
  <c r="P102" i="16" s="1"/>
  <c r="J142" i="16"/>
  <c r="P142" i="16" s="1"/>
  <c r="C102" i="16"/>
  <c r="C103" i="16" s="1"/>
  <c r="J112" i="16"/>
  <c r="P112" i="16" s="1"/>
  <c r="P113" i="16" s="1"/>
  <c r="C142" i="16"/>
  <c r="C143" i="16" s="1"/>
  <c r="F142" i="16" s="1"/>
  <c r="I67" i="16"/>
  <c r="K67" i="16"/>
  <c r="L67" i="16"/>
  <c r="C82" i="16"/>
  <c r="C83" i="16" s="1"/>
  <c r="F82" i="16" s="1"/>
  <c r="I82" i="16"/>
  <c r="K112" i="16"/>
  <c r="P9" i="16"/>
  <c r="P8" i="16"/>
  <c r="I17" i="16"/>
  <c r="L17" i="16"/>
  <c r="H17" i="16"/>
  <c r="K17" i="16"/>
  <c r="C17" i="16"/>
  <c r="C18" i="16" s="1"/>
  <c r="K22" i="16"/>
  <c r="C22" i="16"/>
  <c r="C23" i="16" s="1"/>
  <c r="J22" i="16"/>
  <c r="P22" i="16" s="1"/>
  <c r="I22" i="16"/>
  <c r="L22" i="16"/>
  <c r="P49" i="16"/>
  <c r="P48" i="16"/>
  <c r="I57" i="16"/>
  <c r="J57" i="16"/>
  <c r="P57" i="16" s="1"/>
  <c r="C58" i="16"/>
  <c r="H57" i="16"/>
  <c r="O57" i="16" s="1"/>
  <c r="L57" i="16"/>
  <c r="C57" i="16"/>
  <c r="J77" i="16"/>
  <c r="P77" i="16" s="1"/>
  <c r="C78" i="16"/>
  <c r="I77" i="16"/>
  <c r="H77" i="16"/>
  <c r="L77" i="16"/>
  <c r="K77" i="16"/>
  <c r="C77" i="16"/>
  <c r="I7" i="16"/>
  <c r="L7" i="16"/>
  <c r="H7" i="16"/>
  <c r="K7" i="16"/>
  <c r="C7" i="16"/>
  <c r="C8" i="16" s="1"/>
  <c r="K12" i="16"/>
  <c r="C12" i="16"/>
  <c r="C13" i="16" s="1"/>
  <c r="J12" i="16"/>
  <c r="P12" i="16" s="1"/>
  <c r="I12" i="16"/>
  <c r="O12" i="16" s="1"/>
  <c r="L12" i="16"/>
  <c r="P39" i="16"/>
  <c r="P38" i="16"/>
  <c r="I47" i="16"/>
  <c r="L47" i="16"/>
  <c r="H47" i="16"/>
  <c r="K47" i="16"/>
  <c r="C47" i="16"/>
  <c r="C48" i="16" s="1"/>
  <c r="K52" i="16"/>
  <c r="C52" i="16"/>
  <c r="C53" i="16" s="1"/>
  <c r="J52" i="16"/>
  <c r="P52" i="16" s="1"/>
  <c r="I52" i="16"/>
  <c r="O52" i="16" s="1"/>
  <c r="L52" i="16"/>
  <c r="K62" i="16"/>
  <c r="C62" i="16"/>
  <c r="C63" i="16" s="1"/>
  <c r="L62" i="16"/>
  <c r="J62" i="16"/>
  <c r="P62" i="16" s="1"/>
  <c r="I62" i="16"/>
  <c r="E102" i="16"/>
  <c r="D102" i="16"/>
  <c r="F102" i="16"/>
  <c r="G102" i="16"/>
  <c r="P29" i="16"/>
  <c r="P28" i="16"/>
  <c r="I37" i="16"/>
  <c r="L37" i="16"/>
  <c r="H37" i="16"/>
  <c r="K37" i="16"/>
  <c r="C37" i="16"/>
  <c r="C38" i="16" s="1"/>
  <c r="K42" i="16"/>
  <c r="C42" i="16"/>
  <c r="C43" i="16" s="1"/>
  <c r="J42" i="16"/>
  <c r="P42" i="16" s="1"/>
  <c r="I42" i="16"/>
  <c r="O42" i="16" s="1"/>
  <c r="L42" i="16"/>
  <c r="D142" i="16"/>
  <c r="G142" i="16"/>
  <c r="J17" i="16"/>
  <c r="P17" i="16" s="1"/>
  <c r="H22" i="16"/>
  <c r="O22" i="16" s="1"/>
  <c r="I27" i="16"/>
  <c r="L27" i="16"/>
  <c r="H27" i="16"/>
  <c r="K27" i="16"/>
  <c r="C27" i="16"/>
  <c r="C28" i="16" s="1"/>
  <c r="K32" i="16"/>
  <c r="C32" i="16"/>
  <c r="C33" i="16" s="1"/>
  <c r="J32" i="16"/>
  <c r="P32" i="16" s="1"/>
  <c r="I32" i="16"/>
  <c r="O32" i="16" s="1"/>
  <c r="L32" i="16"/>
  <c r="K57" i="16"/>
  <c r="Q57" i="16" s="1"/>
  <c r="Q58" i="16" s="1"/>
  <c r="Q60" i="16" s="1"/>
  <c r="H62" i="16"/>
  <c r="K72" i="16"/>
  <c r="C72" i="16"/>
  <c r="C73" i="16" s="1"/>
  <c r="L72" i="16"/>
  <c r="J72" i="16"/>
  <c r="P72" i="16" s="1"/>
  <c r="I72" i="16"/>
  <c r="H72" i="16"/>
  <c r="K117" i="16"/>
  <c r="C117" i="16"/>
  <c r="C118" i="16" s="1"/>
  <c r="J117" i="16"/>
  <c r="P117" i="16" s="1"/>
  <c r="H117" i="16"/>
  <c r="L117" i="16"/>
  <c r="P84" i="16"/>
  <c r="P85" i="16" s="1"/>
  <c r="L92" i="16"/>
  <c r="H92" i="16"/>
  <c r="O92" i="16" s="1"/>
  <c r="J92" i="16"/>
  <c r="P92" i="16" s="1"/>
  <c r="K92" i="16"/>
  <c r="J97" i="16"/>
  <c r="P97" i="16" s="1"/>
  <c r="L97" i="16"/>
  <c r="I97" i="16"/>
  <c r="H97" i="16"/>
  <c r="P104" i="16"/>
  <c r="P103" i="16"/>
  <c r="I117" i="16"/>
  <c r="C67" i="16"/>
  <c r="C68" i="16" s="1"/>
  <c r="H67" i="16"/>
  <c r="O67" i="16" s="1"/>
  <c r="J87" i="16"/>
  <c r="P87" i="16" s="1"/>
  <c r="K87" i="16"/>
  <c r="H87" i="16"/>
  <c r="O87" i="16" s="1"/>
  <c r="C87" i="16"/>
  <c r="C88" i="16" s="1"/>
  <c r="L87" i="16"/>
  <c r="C92" i="16"/>
  <c r="C93" i="16" s="1"/>
  <c r="K97" i="16"/>
  <c r="K107" i="16"/>
  <c r="C107" i="16"/>
  <c r="C108" i="16" s="1"/>
  <c r="J107" i="16"/>
  <c r="P107" i="16" s="1"/>
  <c r="L107" i="16"/>
  <c r="H107" i="16"/>
  <c r="O107" i="16" s="1"/>
  <c r="J67" i="16"/>
  <c r="P67" i="16" s="1"/>
  <c r="C97" i="16"/>
  <c r="C98" i="16" s="1"/>
  <c r="K147" i="16"/>
  <c r="C147" i="16"/>
  <c r="C148" i="16" s="1"/>
  <c r="J147" i="16"/>
  <c r="P147" i="16" s="1"/>
  <c r="L147" i="16"/>
  <c r="I147" i="16"/>
  <c r="H147" i="16"/>
  <c r="P114" i="16"/>
  <c r="E112" i="16"/>
  <c r="D112" i="16"/>
  <c r="G112" i="16"/>
  <c r="N112" i="16" s="1"/>
  <c r="I122" i="16"/>
  <c r="L122" i="16"/>
  <c r="H122" i="16"/>
  <c r="K122" i="16"/>
  <c r="C122" i="16"/>
  <c r="C123" i="16" s="1"/>
  <c r="J122" i="16"/>
  <c r="P122" i="16" s="1"/>
  <c r="P133" i="16"/>
  <c r="P135" i="16" s="1"/>
  <c r="P144" i="16"/>
  <c r="P143" i="16"/>
  <c r="K127" i="16"/>
  <c r="Q127" i="16" s="1"/>
  <c r="Q128" i="16" s="1"/>
  <c r="Q130" i="16" s="1"/>
  <c r="C127" i="16"/>
  <c r="C128" i="16" s="1"/>
  <c r="J127" i="16"/>
  <c r="P127" i="16" s="1"/>
  <c r="I127" i="16"/>
  <c r="H127" i="16"/>
  <c r="K137" i="16"/>
  <c r="C137" i="16"/>
  <c r="C138" i="16" s="1"/>
  <c r="J137" i="16"/>
  <c r="P137" i="16" s="1"/>
  <c r="L137" i="16"/>
  <c r="I137" i="16"/>
  <c r="O137" i="16" s="1"/>
  <c r="L82" i="16"/>
  <c r="H82" i="16"/>
  <c r="O82" i="16" s="1"/>
  <c r="K82" i="16"/>
  <c r="I132" i="16"/>
  <c r="L132" i="16"/>
  <c r="H132" i="16"/>
  <c r="K132" i="16"/>
  <c r="C132" i="16"/>
  <c r="C133" i="16" s="1"/>
  <c r="I102" i="16"/>
  <c r="L102" i="16"/>
  <c r="Q102" i="16" s="1"/>
  <c r="Q103" i="16" s="1"/>
  <c r="Q105" i="16" s="1"/>
  <c r="H102" i="16"/>
  <c r="I112" i="16"/>
  <c r="L112" i="16"/>
  <c r="Q112" i="16" s="1"/>
  <c r="Q113" i="16" s="1"/>
  <c r="Q115" i="16" s="1"/>
  <c r="H112" i="16"/>
  <c r="I142" i="16"/>
  <c r="L142" i="16"/>
  <c r="Q142" i="16" s="1"/>
  <c r="Q143" i="16" s="1"/>
  <c r="Q145" i="16" s="1"/>
  <c r="H142" i="16"/>
  <c r="R21" i="4"/>
  <c r="R22" i="4" s="1"/>
  <c r="H8" i="9"/>
  <c r="B5" i="4"/>
  <c r="A4" i="3"/>
  <c r="F6" i="9"/>
  <c r="F5" i="9"/>
  <c r="V8" i="3"/>
  <c r="V9" i="3" s="1"/>
  <c r="V10" i="3" s="1"/>
  <c r="V11" i="3" s="1"/>
  <c r="V12" i="3" s="1"/>
  <c r="V13" i="3" s="1"/>
  <c r="V14" i="3" s="1"/>
  <c r="T8" i="3"/>
  <c r="T9" i="3" s="1"/>
  <c r="T10" i="3" s="1"/>
  <c r="T11" i="3" s="1"/>
  <c r="R7" i="3"/>
  <c r="Q7" i="3"/>
  <c r="Q8" i="3" s="1"/>
  <c r="M7" i="3"/>
  <c r="A9" i="3"/>
  <c r="L20" i="4"/>
  <c r="Q1" i="4"/>
  <c r="S17" i="4"/>
  <c r="P22" i="3"/>
  <c r="U9" i="3"/>
  <c r="U10" i="3" s="1"/>
  <c r="U11" i="3" s="1"/>
  <c r="I8" i="3"/>
  <c r="A86" i="9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B6" i="3"/>
  <c r="C6" i="3" s="1"/>
  <c r="D6" i="3" s="1"/>
  <c r="E6" i="3" s="1"/>
  <c r="F6" i="3" s="1"/>
  <c r="G6" i="3" s="1"/>
  <c r="H6" i="3" s="1"/>
  <c r="I6" i="3" s="1"/>
  <c r="J6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Q107" i="16"/>
  <c r="Q108" i="16" s="1"/>
  <c r="Q110" i="16" s="1"/>
  <c r="P105" i="16"/>
  <c r="W7" i="3"/>
  <c r="X7" i="3" s="1"/>
  <c r="Z7" i="3"/>
  <c r="I9" i="3"/>
  <c r="I10" i="3" s="1"/>
  <c r="P10" i="16"/>
  <c r="M8" i="3"/>
  <c r="M9" i="3" s="1"/>
  <c r="E85" i="9"/>
  <c r="B85" i="9"/>
  <c r="D85" i="9"/>
  <c r="O77" i="16"/>
  <c r="O112" i="16"/>
  <c r="P145" i="16"/>
  <c r="E142" i="16"/>
  <c r="Q67" i="16"/>
  <c r="Q68" i="16" s="1"/>
  <c r="Q70" i="16" s="1"/>
  <c r="O62" i="16"/>
  <c r="O63" i="16" s="1"/>
  <c r="Q37" i="16"/>
  <c r="Q38" i="16" s="1"/>
  <c r="Q40" i="16" s="1"/>
  <c r="O102" i="16"/>
  <c r="Q132" i="16"/>
  <c r="Q133" i="16" s="1"/>
  <c r="Q135" i="16" s="1"/>
  <c r="D82" i="16"/>
  <c r="O72" i="16"/>
  <c r="O74" i="16" s="1"/>
  <c r="Q82" i="16"/>
  <c r="Q83" i="16" s="1"/>
  <c r="Q85" i="16" s="1"/>
  <c r="Q137" i="16"/>
  <c r="Q138" i="16" s="1"/>
  <c r="Q140" i="16" s="1"/>
  <c r="G82" i="16"/>
  <c r="Q62" i="16"/>
  <c r="Q63" i="16" s="1"/>
  <c r="Q65" i="16" s="1"/>
  <c r="Q7" i="16"/>
  <c r="Q8" i="16" s="1"/>
  <c r="Q10" i="16" s="1"/>
  <c r="O17" i="16"/>
  <c r="O18" i="16" s="1"/>
  <c r="O132" i="16"/>
  <c r="O134" i="16" s="1"/>
  <c r="O127" i="16"/>
  <c r="O128" i="16" s="1"/>
  <c r="O122" i="16"/>
  <c r="M112" i="16"/>
  <c r="M114" i="16" s="1"/>
  <c r="O147" i="16"/>
  <c r="O148" i="16" s="1"/>
  <c r="Q97" i="16"/>
  <c r="Q98" i="16" s="1"/>
  <c r="Q100" i="16" s="1"/>
  <c r="E82" i="16"/>
  <c r="O97" i="16"/>
  <c r="O98" i="16" s="1"/>
  <c r="Q147" i="16"/>
  <c r="Q148" i="16" s="1"/>
  <c r="Q150" i="16" s="1"/>
  <c r="P30" i="16"/>
  <c r="M102" i="16"/>
  <c r="Q77" i="16"/>
  <c r="Q78" i="16" s="1"/>
  <c r="Q80" i="16" s="1"/>
  <c r="P50" i="16"/>
  <c r="O138" i="16"/>
  <c r="O139" i="16"/>
  <c r="G147" i="16"/>
  <c r="F147" i="16"/>
  <c r="E147" i="16"/>
  <c r="D147" i="16"/>
  <c r="G52" i="16"/>
  <c r="F52" i="16"/>
  <c r="E52" i="16"/>
  <c r="D52" i="16"/>
  <c r="G12" i="16"/>
  <c r="F12" i="16"/>
  <c r="E12" i="16"/>
  <c r="D12" i="16"/>
  <c r="N113" i="16"/>
  <c r="N114" i="16"/>
  <c r="D92" i="16"/>
  <c r="G92" i="16"/>
  <c r="E92" i="16"/>
  <c r="F92" i="16"/>
  <c r="G32" i="16"/>
  <c r="F32" i="16"/>
  <c r="E32" i="16"/>
  <c r="D32" i="16"/>
  <c r="G42" i="16"/>
  <c r="F42" i="16"/>
  <c r="E42" i="16"/>
  <c r="D42" i="16"/>
  <c r="E17" i="16"/>
  <c r="D17" i="16"/>
  <c r="G17" i="16"/>
  <c r="F17" i="16"/>
  <c r="G137" i="16"/>
  <c r="F137" i="16"/>
  <c r="D137" i="16"/>
  <c r="E137" i="16"/>
  <c r="E122" i="16"/>
  <c r="D122" i="16"/>
  <c r="G122" i="16"/>
  <c r="F122" i="16"/>
  <c r="F97" i="16"/>
  <c r="G97" i="16"/>
  <c r="D97" i="16"/>
  <c r="E97" i="16"/>
  <c r="G107" i="16"/>
  <c r="F107" i="16"/>
  <c r="D107" i="16"/>
  <c r="E107" i="16"/>
  <c r="G72" i="16"/>
  <c r="F72" i="16"/>
  <c r="E72" i="16"/>
  <c r="D72" i="16"/>
  <c r="O53" i="16"/>
  <c r="O54" i="16"/>
  <c r="E47" i="16"/>
  <c r="D47" i="16"/>
  <c r="G47" i="16"/>
  <c r="F47" i="16"/>
  <c r="O13" i="16"/>
  <c r="O14" i="16"/>
  <c r="O33" i="16"/>
  <c r="O34" i="16"/>
  <c r="E27" i="16"/>
  <c r="D27" i="16"/>
  <c r="G27" i="16"/>
  <c r="F27" i="16"/>
  <c r="O43" i="16"/>
  <c r="O44" i="16"/>
  <c r="O84" i="16"/>
  <c r="O83" i="16"/>
  <c r="Q122" i="16"/>
  <c r="Q123" i="16" s="1"/>
  <c r="Q125" i="16" s="1"/>
  <c r="P115" i="16"/>
  <c r="P69" i="16"/>
  <c r="P68" i="16"/>
  <c r="P88" i="16"/>
  <c r="P90" i="16" s="1"/>
  <c r="P89" i="16"/>
  <c r="Q92" i="16"/>
  <c r="Q93" i="16" s="1"/>
  <c r="Q95" i="16" s="1"/>
  <c r="Q72" i="16"/>
  <c r="Q73" i="16" s="1"/>
  <c r="Q75" i="16" s="1"/>
  <c r="Q32" i="16"/>
  <c r="Q33" i="16" s="1"/>
  <c r="Q35" i="16" s="1"/>
  <c r="O23" i="16"/>
  <c r="O24" i="16"/>
  <c r="O37" i="16"/>
  <c r="M103" i="16"/>
  <c r="M105" i="16" s="1"/>
  <c r="M104" i="16"/>
  <c r="Q52" i="16"/>
  <c r="Q53" i="16" s="1"/>
  <c r="Q55" i="16" s="1"/>
  <c r="O7" i="16"/>
  <c r="O78" i="16"/>
  <c r="O80" i="16" s="1"/>
  <c r="O79" i="16"/>
  <c r="P59" i="16"/>
  <c r="P58" i="16"/>
  <c r="Q17" i="16"/>
  <c r="Q18" i="16" s="1"/>
  <c r="Q20" i="16" s="1"/>
  <c r="O104" i="16"/>
  <c r="O103" i="16"/>
  <c r="P138" i="16"/>
  <c r="P139" i="16"/>
  <c r="P148" i="16"/>
  <c r="P149" i="16"/>
  <c r="P108" i="16"/>
  <c r="P109" i="16"/>
  <c r="P94" i="16"/>
  <c r="P93" i="16"/>
  <c r="N82" i="16"/>
  <c r="Q117" i="16"/>
  <c r="Q118" i="16" s="1"/>
  <c r="Q120" i="16" s="1"/>
  <c r="P73" i="16"/>
  <c r="P74" i="16"/>
  <c r="O27" i="16"/>
  <c r="P19" i="16"/>
  <c r="P18" i="16"/>
  <c r="M142" i="16"/>
  <c r="P43" i="16"/>
  <c r="P44" i="16"/>
  <c r="O47" i="16"/>
  <c r="P40" i="16"/>
  <c r="P13" i="16"/>
  <c r="P14" i="16"/>
  <c r="Q22" i="16"/>
  <c r="Q23" i="16" s="1"/>
  <c r="Q25" i="16" s="1"/>
  <c r="O114" i="16"/>
  <c r="O113" i="16"/>
  <c r="E132" i="16"/>
  <c r="D132" i="16"/>
  <c r="F132" i="16"/>
  <c r="G132" i="16"/>
  <c r="G127" i="16"/>
  <c r="F127" i="16"/>
  <c r="D127" i="16"/>
  <c r="E127" i="16"/>
  <c r="P124" i="16"/>
  <c r="P123" i="16"/>
  <c r="O124" i="16"/>
  <c r="O123" i="16"/>
  <c r="M113" i="16"/>
  <c r="O88" i="16"/>
  <c r="O89" i="16"/>
  <c r="E67" i="16"/>
  <c r="D67" i="16"/>
  <c r="M67" i="16" s="1"/>
  <c r="G67" i="16"/>
  <c r="F67" i="16"/>
  <c r="O99" i="16"/>
  <c r="P99" i="16"/>
  <c r="P98" i="16"/>
  <c r="O94" i="16"/>
  <c r="O93" i="16"/>
  <c r="O117" i="16"/>
  <c r="G117" i="16"/>
  <c r="F117" i="16"/>
  <c r="E117" i="16"/>
  <c r="D117" i="16"/>
  <c r="O64" i="16"/>
  <c r="P33" i="16"/>
  <c r="P34" i="16"/>
  <c r="P53" i="16"/>
  <c r="P54" i="16"/>
  <c r="F77" i="16"/>
  <c r="D77" i="16"/>
  <c r="G77" i="16"/>
  <c r="E77" i="16"/>
  <c r="O59" i="16"/>
  <c r="O58" i="16"/>
  <c r="G22" i="16"/>
  <c r="F22" i="16"/>
  <c r="E22" i="16"/>
  <c r="D22" i="16"/>
  <c r="O19" i="16"/>
  <c r="O142" i="16"/>
  <c r="O133" i="16"/>
  <c r="P128" i="16"/>
  <c r="P129" i="16"/>
  <c r="O108" i="16"/>
  <c r="O109" i="16"/>
  <c r="F87" i="16"/>
  <c r="E87" i="16"/>
  <c r="D87" i="16"/>
  <c r="G87" i="16"/>
  <c r="Q87" i="16"/>
  <c r="Q88" i="16" s="1"/>
  <c r="Q90" i="16" s="1"/>
  <c r="O69" i="16"/>
  <c r="O68" i="16"/>
  <c r="P118" i="16"/>
  <c r="P119" i="16"/>
  <c r="Q27" i="16"/>
  <c r="Q28" i="16" s="1"/>
  <c r="Q30" i="16" s="1"/>
  <c r="N142" i="16"/>
  <c r="Q42" i="16"/>
  <c r="Q43" i="16" s="1"/>
  <c r="Q45" i="16" s="1"/>
  <c r="E37" i="16"/>
  <c r="D37" i="16"/>
  <c r="M37" i="16" s="1"/>
  <c r="G37" i="16"/>
  <c r="F37" i="16"/>
  <c r="N102" i="16"/>
  <c r="P63" i="16"/>
  <c r="P64" i="16"/>
  <c r="G62" i="16"/>
  <c r="F62" i="16"/>
  <c r="E62" i="16"/>
  <c r="D62" i="16"/>
  <c r="Q47" i="16"/>
  <c r="Q48" i="16" s="1"/>
  <c r="Q50" i="16" s="1"/>
  <c r="Q12" i="16"/>
  <c r="Q13" i="16" s="1"/>
  <c r="Q15" i="16" s="1"/>
  <c r="E7" i="16"/>
  <c r="D7" i="16"/>
  <c r="G7" i="16"/>
  <c r="F7" i="16"/>
  <c r="P79" i="16"/>
  <c r="P78" i="16"/>
  <c r="E57" i="16"/>
  <c r="D57" i="16"/>
  <c r="G57" i="16"/>
  <c r="F57" i="16"/>
  <c r="P23" i="16"/>
  <c r="P24" i="16"/>
  <c r="B82" i="9"/>
  <c r="C8" i="3"/>
  <c r="U12" i="3"/>
  <c r="U13" i="3" s="1"/>
  <c r="U14" i="3" s="1"/>
  <c r="U15" i="3" s="1"/>
  <c r="U16" i="3" s="1"/>
  <c r="V15" i="3"/>
  <c r="V16" i="3" s="1"/>
  <c r="V17" i="3" s="1"/>
  <c r="V18" i="3" s="1"/>
  <c r="Q9" i="3"/>
  <c r="A10" i="3"/>
  <c r="T12" i="3"/>
  <c r="T13" i="3" s="1"/>
  <c r="T14" i="3" s="1"/>
  <c r="T15" i="3" s="1"/>
  <c r="T16" i="3" s="1"/>
  <c r="T17" i="3" s="1"/>
  <c r="T18" i="3" s="1"/>
  <c r="R8" i="3"/>
  <c r="M11" i="3" l="1"/>
  <c r="M10" i="3"/>
  <c r="F8" i="3"/>
  <c r="D8" i="3"/>
  <c r="N8" i="3" s="1"/>
  <c r="M12" i="3"/>
  <c r="M13" i="3" s="1"/>
  <c r="M14" i="3" s="1"/>
  <c r="Z8" i="3"/>
  <c r="I11" i="3"/>
  <c r="I12" i="3" s="1"/>
  <c r="I13" i="3" s="1"/>
  <c r="I14" i="3" s="1"/>
  <c r="I15" i="3" s="1"/>
  <c r="I16" i="3" s="1"/>
  <c r="I17" i="3" s="1"/>
  <c r="I18" i="3" s="1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O95" i="16"/>
  <c r="O125" i="16"/>
  <c r="O115" i="16"/>
  <c r="P70" i="16"/>
  <c r="O85" i="16"/>
  <c r="D86" i="9"/>
  <c r="B86" i="9"/>
  <c r="E86" i="9"/>
  <c r="V22" i="3"/>
  <c r="T22" i="3"/>
  <c r="M92" i="16"/>
  <c r="O140" i="16"/>
  <c r="M47" i="16"/>
  <c r="M48" i="16" s="1"/>
  <c r="M72" i="16"/>
  <c r="N122" i="16"/>
  <c r="N17" i="16"/>
  <c r="M42" i="16"/>
  <c r="M44" i="16" s="1"/>
  <c r="M32" i="16"/>
  <c r="N12" i="16"/>
  <c r="N52" i="16"/>
  <c r="N147" i="16"/>
  <c r="N149" i="16" s="1"/>
  <c r="P130" i="16"/>
  <c r="M115" i="16"/>
  <c r="O73" i="16"/>
  <c r="O90" i="16"/>
  <c r="P35" i="16"/>
  <c r="O149" i="16"/>
  <c r="O129" i="16"/>
  <c r="O130" i="16" s="1"/>
  <c r="P25" i="16"/>
  <c r="P75" i="16"/>
  <c r="P110" i="16"/>
  <c r="O25" i="16"/>
  <c r="M27" i="16"/>
  <c r="M29" i="16" s="1"/>
  <c r="N47" i="16"/>
  <c r="N72" i="16"/>
  <c r="M82" i="16"/>
  <c r="M84" i="16" s="1"/>
  <c r="O35" i="16"/>
  <c r="N37" i="16"/>
  <c r="N38" i="16" s="1"/>
  <c r="N77" i="16"/>
  <c r="N78" i="16" s="1"/>
  <c r="N107" i="16"/>
  <c r="N108" i="16" s="1"/>
  <c r="M122" i="16"/>
  <c r="N137" i="16"/>
  <c r="N139" i="16" s="1"/>
  <c r="M17" i="16"/>
  <c r="M18" i="16" s="1"/>
  <c r="N42" i="16"/>
  <c r="N44" i="16" s="1"/>
  <c r="N32" i="16"/>
  <c r="M12" i="16"/>
  <c r="M14" i="16" s="1"/>
  <c r="M52" i="16"/>
  <c r="M53" i="16" s="1"/>
  <c r="O135" i="16"/>
  <c r="N57" i="16"/>
  <c r="P80" i="16"/>
  <c r="M7" i="16"/>
  <c r="M8" i="16" s="1"/>
  <c r="M62" i="16"/>
  <c r="M63" i="16" s="1"/>
  <c r="N87" i="16"/>
  <c r="O20" i="16"/>
  <c r="N22" i="16"/>
  <c r="N24" i="16" s="1"/>
  <c r="O65" i="16"/>
  <c r="N117" i="16"/>
  <c r="N58" i="16"/>
  <c r="N59" i="16"/>
  <c r="M64" i="16"/>
  <c r="P65" i="16"/>
  <c r="M38" i="16"/>
  <c r="M39" i="16"/>
  <c r="P120" i="16"/>
  <c r="P55" i="16"/>
  <c r="M68" i="16"/>
  <c r="M69" i="16"/>
  <c r="P15" i="16"/>
  <c r="P45" i="16"/>
  <c r="O29" i="16"/>
  <c r="O28" i="16"/>
  <c r="N84" i="16"/>
  <c r="N83" i="16"/>
  <c r="P150" i="16"/>
  <c r="P140" i="16"/>
  <c r="P60" i="16"/>
  <c r="O9" i="16"/>
  <c r="O8" i="16"/>
  <c r="O39" i="16"/>
  <c r="O38" i="16"/>
  <c r="N27" i="16"/>
  <c r="M74" i="16"/>
  <c r="M73" i="16"/>
  <c r="N123" i="16"/>
  <c r="N124" i="16"/>
  <c r="N18" i="16"/>
  <c r="N19" i="16"/>
  <c r="M34" i="16"/>
  <c r="M33" i="16"/>
  <c r="N92" i="16"/>
  <c r="N14" i="16"/>
  <c r="N13" i="16"/>
  <c r="N54" i="16"/>
  <c r="N53" i="16"/>
  <c r="N55" i="16" s="1"/>
  <c r="N148" i="16"/>
  <c r="N143" i="16"/>
  <c r="N144" i="16"/>
  <c r="N88" i="16"/>
  <c r="N89" i="16"/>
  <c r="M57" i="16"/>
  <c r="N7" i="16"/>
  <c r="N62" i="16"/>
  <c r="N103" i="16"/>
  <c r="N104" i="16"/>
  <c r="O75" i="16"/>
  <c r="O70" i="16"/>
  <c r="M87" i="16"/>
  <c r="O110" i="16"/>
  <c r="M22" i="16"/>
  <c r="O60" i="16"/>
  <c r="M77" i="16"/>
  <c r="M117" i="16"/>
  <c r="O118" i="16"/>
  <c r="O119" i="16"/>
  <c r="O100" i="16"/>
  <c r="O150" i="16"/>
  <c r="M127" i="16"/>
  <c r="N132" i="16"/>
  <c r="M143" i="16"/>
  <c r="M144" i="16"/>
  <c r="P95" i="16"/>
  <c r="O105" i="16"/>
  <c r="O15" i="16"/>
  <c r="M107" i="16"/>
  <c r="M97" i="16"/>
  <c r="M137" i="16"/>
  <c r="N115" i="16"/>
  <c r="C115" i="16" s="1"/>
  <c r="O144" i="16"/>
  <c r="O143" i="16"/>
  <c r="P100" i="16"/>
  <c r="N67" i="16"/>
  <c r="P125" i="16"/>
  <c r="N127" i="16"/>
  <c r="M132" i="16"/>
  <c r="O49" i="16"/>
  <c r="O48" i="16"/>
  <c r="P20" i="16"/>
  <c r="N48" i="16"/>
  <c r="N49" i="16"/>
  <c r="N74" i="16"/>
  <c r="N73" i="16"/>
  <c r="N109" i="16"/>
  <c r="M123" i="16"/>
  <c r="M124" i="16"/>
  <c r="N138" i="16"/>
  <c r="N34" i="16"/>
  <c r="N33" i="16"/>
  <c r="M13" i="16"/>
  <c r="M54" i="16"/>
  <c r="M147" i="16"/>
  <c r="N23" i="16"/>
  <c r="N119" i="16"/>
  <c r="N118" i="16"/>
  <c r="O45" i="16"/>
  <c r="O55" i="16"/>
  <c r="N97" i="16"/>
  <c r="M93" i="16"/>
  <c r="M94" i="16"/>
  <c r="C9" i="3"/>
  <c r="Q10" i="3"/>
  <c r="U22" i="3"/>
  <c r="R9" i="3"/>
  <c r="R10" i="3" s="1"/>
  <c r="R11" i="3" s="1"/>
  <c r="R12" i="3" s="1"/>
  <c r="R13" i="3" s="1"/>
  <c r="R14" i="3" s="1"/>
  <c r="R15" i="3" s="1"/>
  <c r="R16" i="3" s="1"/>
  <c r="R17" i="3" s="1"/>
  <c r="R18" i="3" s="1"/>
  <c r="A11" i="3"/>
  <c r="I8" i="4"/>
  <c r="O8" i="3" l="1"/>
  <c r="J8" i="3"/>
  <c r="N120" i="16"/>
  <c r="O40" i="16"/>
  <c r="M83" i="16"/>
  <c r="L8" i="3"/>
  <c r="F9" i="3"/>
  <c r="D9" i="3"/>
  <c r="J9" i="3" s="1"/>
  <c r="I22" i="3"/>
  <c r="L8" i="4" s="1"/>
  <c r="K24" i="4"/>
  <c r="E45" i="9" s="1"/>
  <c r="H22" i="3"/>
  <c r="M43" i="16"/>
  <c r="M49" i="16"/>
  <c r="M28" i="16"/>
  <c r="N43" i="16"/>
  <c r="N45" i="16" s="1"/>
  <c r="B87" i="9"/>
  <c r="D87" i="9"/>
  <c r="E87" i="9"/>
  <c r="R22" i="3"/>
  <c r="G13" i="4" s="1"/>
  <c r="E23" i="9" s="1"/>
  <c r="N85" i="16"/>
  <c r="M65" i="16"/>
  <c r="M85" i="16"/>
  <c r="N145" i="16"/>
  <c r="M70" i="16"/>
  <c r="M40" i="16"/>
  <c r="M145" i="16"/>
  <c r="N105" i="16"/>
  <c r="C105" i="16" s="1"/>
  <c r="M9" i="16"/>
  <c r="M10" i="16" s="1"/>
  <c r="N125" i="16"/>
  <c r="N60" i="16"/>
  <c r="M19" i="16"/>
  <c r="M20" i="16" s="1"/>
  <c r="M125" i="16"/>
  <c r="N50" i="16"/>
  <c r="N79" i="16"/>
  <c r="M35" i="16"/>
  <c r="N75" i="16"/>
  <c r="O145" i="16"/>
  <c r="M15" i="16"/>
  <c r="N140" i="16"/>
  <c r="N39" i="16"/>
  <c r="N40" i="16" s="1"/>
  <c r="C40" i="16" s="1"/>
  <c r="N25" i="16"/>
  <c r="O50" i="16"/>
  <c r="N68" i="16"/>
  <c r="N69" i="16"/>
  <c r="M95" i="16"/>
  <c r="M149" i="16"/>
  <c r="M148" i="16"/>
  <c r="M30" i="16"/>
  <c r="M133" i="16"/>
  <c r="M134" i="16"/>
  <c r="M139" i="16"/>
  <c r="M138" i="16"/>
  <c r="N133" i="16"/>
  <c r="N134" i="16"/>
  <c r="N64" i="16"/>
  <c r="N63" i="16"/>
  <c r="N90" i="16"/>
  <c r="N99" i="16"/>
  <c r="N98" i="16"/>
  <c r="M55" i="16"/>
  <c r="C55" i="16" s="1"/>
  <c r="N35" i="16"/>
  <c r="C35" i="16" s="1"/>
  <c r="N110" i="16"/>
  <c r="N129" i="16"/>
  <c r="N128" i="16"/>
  <c r="N80" i="16"/>
  <c r="M99" i="16"/>
  <c r="M98" i="16"/>
  <c r="M129" i="16"/>
  <c r="M128" i="16"/>
  <c r="O120" i="16"/>
  <c r="M24" i="16"/>
  <c r="M23" i="16"/>
  <c r="N8" i="16"/>
  <c r="N9" i="16"/>
  <c r="N150" i="16"/>
  <c r="N15" i="16"/>
  <c r="C15" i="16" s="1"/>
  <c r="N20" i="16"/>
  <c r="M50" i="16"/>
  <c r="O10" i="16"/>
  <c r="O30" i="16"/>
  <c r="M109" i="16"/>
  <c r="M108" i="16"/>
  <c r="M119" i="16"/>
  <c r="M118" i="16"/>
  <c r="M58" i="16"/>
  <c r="M59" i="16"/>
  <c r="M45" i="16"/>
  <c r="M75" i="16"/>
  <c r="N28" i="16"/>
  <c r="N29" i="16"/>
  <c r="C145" i="16"/>
  <c r="M79" i="16"/>
  <c r="M78" i="16"/>
  <c r="M89" i="16"/>
  <c r="M88" i="16"/>
  <c r="N93" i="16"/>
  <c r="N94" i="16"/>
  <c r="C10" i="3"/>
  <c r="Q11" i="3"/>
  <c r="A12" i="3"/>
  <c r="G12" i="4"/>
  <c r="M15" i="3"/>
  <c r="O9" i="3" l="1"/>
  <c r="N9" i="3"/>
  <c r="L9" i="3"/>
  <c r="F10" i="3"/>
  <c r="D10" i="3"/>
  <c r="O10" i="3" s="1"/>
  <c r="W8" i="3"/>
  <c r="X8" i="3" s="1"/>
  <c r="BD11" i="3"/>
  <c r="BE11" i="3" s="1"/>
  <c r="C45" i="16"/>
  <c r="E25" i="9"/>
  <c r="G26" i="9" s="1"/>
  <c r="E9" i="4"/>
  <c r="E88" i="9"/>
  <c r="B88" i="9"/>
  <c r="D88" i="9"/>
  <c r="M110" i="16"/>
  <c r="C110" i="16" s="1"/>
  <c r="C125" i="16"/>
  <c r="C85" i="16"/>
  <c r="C50" i="16"/>
  <c r="C20" i="16"/>
  <c r="C75" i="16"/>
  <c r="N130" i="16"/>
  <c r="M80" i="16"/>
  <c r="C80" i="16" s="1"/>
  <c r="M100" i="16"/>
  <c r="N100" i="16"/>
  <c r="N135" i="16"/>
  <c r="M135" i="16"/>
  <c r="M90" i="16"/>
  <c r="C90" i="16" s="1"/>
  <c r="N10" i="16"/>
  <c r="C10" i="16" s="1"/>
  <c r="M150" i="16"/>
  <c r="C150" i="16" s="1"/>
  <c r="N70" i="16"/>
  <c r="C70" i="16" s="1"/>
  <c r="N95" i="16"/>
  <c r="N30" i="16"/>
  <c r="M60" i="16"/>
  <c r="C60" i="16" s="1"/>
  <c r="M130" i="16"/>
  <c r="M120" i="16"/>
  <c r="C120" i="16" s="1"/>
  <c r="M25" i="16"/>
  <c r="C25" i="16" s="1"/>
  <c r="C95" i="16"/>
  <c r="N65" i="16"/>
  <c r="C65" i="16" s="1"/>
  <c r="M140" i="16"/>
  <c r="C140" i="16" s="1"/>
  <c r="C30" i="16"/>
  <c r="A13" i="3"/>
  <c r="A14" i="3" s="1"/>
  <c r="M16" i="3"/>
  <c r="M17" i="3" s="1"/>
  <c r="E29" i="9"/>
  <c r="G31" i="9" s="1"/>
  <c r="Q12" i="3"/>
  <c r="Q13" i="3" s="1"/>
  <c r="Q14" i="3" s="1"/>
  <c r="Q15" i="3" s="1"/>
  <c r="Q16" i="3" s="1"/>
  <c r="Q17" i="3" s="1"/>
  <c r="Q18" i="3" s="1"/>
  <c r="J10" i="3" l="1"/>
  <c r="N10" i="3"/>
  <c r="W10" i="3" s="1"/>
  <c r="M18" i="3"/>
  <c r="C135" i="16"/>
  <c r="L10" i="3"/>
  <c r="F11" i="3"/>
  <c r="D11" i="3"/>
  <c r="O11" i="3" s="1"/>
  <c r="BH11" i="3"/>
  <c r="BF11" i="3"/>
  <c r="W9" i="3"/>
  <c r="X9" i="3" s="1"/>
  <c r="D89" i="9"/>
  <c r="E89" i="9"/>
  <c r="B89" i="9"/>
  <c r="C100" i="16"/>
  <c r="C130" i="16"/>
  <c r="N11" i="3" l="1"/>
  <c r="J11" i="3"/>
  <c r="L11" i="3" s="1"/>
  <c r="M34" i="4"/>
  <c r="BG11" i="3"/>
  <c r="BI11" i="3"/>
  <c r="X10" i="3"/>
  <c r="D90" i="9"/>
  <c r="E90" i="9"/>
  <c r="B90" i="9"/>
  <c r="A15" i="3"/>
  <c r="M22" i="3"/>
  <c r="E24" i="4" s="1"/>
  <c r="BJ11" i="3" l="1"/>
  <c r="E91" i="9"/>
  <c r="B91" i="9"/>
  <c r="D91" i="9"/>
  <c r="A16" i="3"/>
  <c r="A17" i="3" s="1"/>
  <c r="A18" i="3" s="1"/>
  <c r="E43" i="9"/>
  <c r="C12" i="3" l="1"/>
  <c r="E92" i="9"/>
  <c r="D92" i="9"/>
  <c r="B92" i="9"/>
  <c r="D12" i="3" l="1"/>
  <c r="N12" i="3" s="1"/>
  <c r="F12" i="3"/>
  <c r="K40" i="4"/>
  <c r="L40" i="4" s="1"/>
  <c r="E68" i="9"/>
  <c r="G68" i="9" s="1"/>
  <c r="H73" i="9" s="1"/>
  <c r="Z12" i="3"/>
  <c r="Z14" i="3" s="1"/>
  <c r="C13" i="3"/>
  <c r="D93" i="9"/>
  <c r="B93" i="9"/>
  <c r="E93" i="9"/>
  <c r="O12" i="3" l="1"/>
  <c r="J12" i="3"/>
  <c r="L12" i="3" s="1"/>
  <c r="D13" i="3"/>
  <c r="O13" i="3" s="1"/>
  <c r="F13" i="3"/>
  <c r="W11" i="3"/>
  <c r="X11" i="3" s="1"/>
  <c r="C14" i="3"/>
  <c r="D94" i="9"/>
  <c r="B94" i="9"/>
  <c r="E94" i="9"/>
  <c r="J13" i="3" l="1"/>
  <c r="L13" i="3" s="1"/>
  <c r="N13" i="3"/>
  <c r="D14" i="3"/>
  <c r="O14" i="3" s="1"/>
  <c r="F14" i="3"/>
  <c r="C15" i="3"/>
  <c r="W12" i="3"/>
  <c r="X12" i="3" s="1"/>
  <c r="D95" i="9"/>
  <c r="B95" i="9"/>
  <c r="S22" i="3"/>
  <c r="E95" i="9"/>
  <c r="Q22" i="3"/>
  <c r="H24" i="4" s="1"/>
  <c r="N14" i="3" l="1"/>
  <c r="W14" i="3" s="1"/>
  <c r="J14" i="3"/>
  <c r="L14" i="3" s="1"/>
  <c r="F15" i="3"/>
  <c r="D15" i="3"/>
  <c r="J51" i="4"/>
  <c r="H80" i="9"/>
  <c r="W13" i="3"/>
  <c r="X13" i="3" s="1"/>
  <c r="C16" i="3"/>
  <c r="E44" i="9"/>
  <c r="E96" i="9"/>
  <c r="B96" i="9"/>
  <c r="B97" i="9" s="1"/>
  <c r="V21" i="16" s="1"/>
  <c r="R1" i="16" s="1"/>
  <c r="C1" i="16" s="1"/>
  <c r="D96" i="9"/>
  <c r="N15" i="3" l="1"/>
  <c r="O15" i="3"/>
  <c r="C17" i="3"/>
  <c r="J15" i="3"/>
  <c r="L15" i="3" s="1"/>
  <c r="D16" i="3"/>
  <c r="N16" i="3" s="1"/>
  <c r="F16" i="3"/>
  <c r="X14" i="3"/>
  <c r="K2" i="16"/>
  <c r="L2" i="16"/>
  <c r="I2" i="16"/>
  <c r="C2" i="16"/>
  <c r="C3" i="16" s="1"/>
  <c r="H2" i="16"/>
  <c r="J2" i="16"/>
  <c r="P2" i="16" s="1"/>
  <c r="W15" i="3" l="1"/>
  <c r="X15" i="3" s="1"/>
  <c r="C18" i="3"/>
  <c r="O16" i="3"/>
  <c r="W16" i="3" s="1"/>
  <c r="F17" i="3"/>
  <c r="J16" i="3"/>
  <c r="L16" i="3" s="1"/>
  <c r="D17" i="3"/>
  <c r="O17" i="3" s="1"/>
  <c r="D18" i="3"/>
  <c r="O2" i="16"/>
  <c r="O3" i="16" s="1"/>
  <c r="Q2" i="16"/>
  <c r="Q3" i="16" s="1"/>
  <c r="Q5" i="16" s="1"/>
  <c r="F2" i="16"/>
  <c r="D2" i="16"/>
  <c r="E2" i="16"/>
  <c r="G2" i="16"/>
  <c r="P3" i="16"/>
  <c r="P4" i="16"/>
  <c r="E17" i="3" l="1"/>
  <c r="E22" i="3" s="1"/>
  <c r="G9" i="4" s="1"/>
  <c r="N18" i="3"/>
  <c r="O18" i="3"/>
  <c r="J18" i="3"/>
  <c r="F18" i="3"/>
  <c r="F22" i="3" s="1"/>
  <c r="C9" i="4" s="1"/>
  <c r="O12" i="4" s="1"/>
  <c r="J17" i="3"/>
  <c r="L17" i="3" s="1"/>
  <c r="N17" i="3"/>
  <c r="W17" i="3" s="1"/>
  <c r="X16" i="3"/>
  <c r="C22" i="3"/>
  <c r="C8" i="4" s="1"/>
  <c r="O4" i="16"/>
  <c r="O5" i="16" s="1"/>
  <c r="M2" i="16"/>
  <c r="M3" i="16" s="1"/>
  <c r="P5" i="16"/>
  <c r="N2" i="16"/>
  <c r="L18" i="3" l="1"/>
  <c r="L22" i="3" s="1"/>
  <c r="X17" i="3"/>
  <c r="W18" i="3"/>
  <c r="J22" i="3"/>
  <c r="I9" i="4" s="1"/>
  <c r="D22" i="3"/>
  <c r="G8" i="4" s="1"/>
  <c r="N11" i="4" s="1"/>
  <c r="O22" i="3"/>
  <c r="H28" i="4" s="1"/>
  <c r="M4" i="16"/>
  <c r="M5" i="16" s="1"/>
  <c r="N4" i="16"/>
  <c r="N3" i="16"/>
  <c r="O11" i="4" l="1"/>
  <c r="N12" i="4"/>
  <c r="O18" i="4"/>
  <c r="O13" i="4" s="1"/>
  <c r="X18" i="3"/>
  <c r="N22" i="3"/>
  <c r="K30" i="4" s="1"/>
  <c r="L9" i="4"/>
  <c r="M30" i="4" s="1"/>
  <c r="N5" i="16"/>
  <c r="C5" i="16" s="1"/>
  <c r="S1" i="16" s="1"/>
  <c r="U31" i="16" s="1"/>
  <c r="A99" i="9" s="1"/>
  <c r="O14" i="4" l="1"/>
  <c r="G11" i="4"/>
  <c r="L16" i="4" s="1"/>
  <c r="G21" i="4" s="1"/>
  <c r="L21" i="4" s="1"/>
  <c r="N30" i="4" s="1"/>
  <c r="L30" i="4" s="1"/>
  <c r="W22" i="3"/>
  <c r="X22" i="3"/>
  <c r="Z22" i="3"/>
  <c r="N9" i="4"/>
  <c r="G16" i="9"/>
  <c r="H20" i="9" s="1"/>
  <c r="H26" i="9" s="1"/>
  <c r="H32" i="9" s="1"/>
  <c r="H39" i="9" s="1"/>
  <c r="N28" i="4" l="1"/>
  <c r="H40" i="9"/>
  <c r="E58" i="9"/>
  <c r="H58" i="9" s="1"/>
  <c r="K31" i="4"/>
  <c r="M31" i="4" s="1"/>
  <c r="L31" i="4" s="1"/>
  <c r="E55" i="9"/>
  <c r="G56" i="9" l="1"/>
  <c r="H56" i="9" s="1"/>
  <c r="N31" i="4"/>
  <c r="O31" i="4" s="1"/>
  <c r="Q30" i="4"/>
  <c r="K41" i="4" l="1"/>
  <c r="R59" i="4" l="1"/>
  <c r="S38" i="4"/>
  <c r="T38" i="4" s="1"/>
  <c r="E57" i="9"/>
  <c r="H57" i="9" s="1"/>
  <c r="H60" i="9" l="1"/>
  <c r="H74" i="9" s="1"/>
  <c r="H76" i="9" l="1"/>
  <c r="K80" i="9"/>
  <c r="K69" i="9"/>
  <c r="K79" i="9"/>
  <c r="K78" i="9"/>
  <c r="H75" i="9" l="1"/>
  <c r="H77" i="9" s="1"/>
  <c r="J50" i="4" l="1"/>
  <c r="J52" i="4" s="1"/>
  <c r="H78" i="9"/>
  <c r="H79" i="9" s="1"/>
  <c r="G52" i="4" l="1"/>
  <c r="J53" i="4"/>
  <c r="H81" i="9"/>
  <c r="E81" i="9"/>
</calcChain>
</file>

<file path=xl/comments1.xml><?xml version="1.0" encoding="utf-8"?>
<comments xmlns="http://schemas.openxmlformats.org/spreadsheetml/2006/main">
  <authors>
    <author>Pramod Puri</author>
    <author>Shriram</author>
  </authors>
  <commentList>
    <comment ref="D16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जेव्हा आपण भाडे पावती जोडत असेल तेव्हा No करावे</t>
        </r>
      </text>
    </comment>
    <comment ref="D24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जेव्हा आपण यापुर्वीच व्याजाचे Accured Interest घेतले असल्यास Yes करावे.</t>
        </r>
      </text>
    </comment>
    <comment ref="E29" authorId="1" shapeId="0">
      <text>
        <r>
          <rPr>
            <b/>
            <sz val="9"/>
            <color indexed="81"/>
            <rFont val="Tahoma"/>
            <charset val="1"/>
          </rPr>
          <t>Shriram:</t>
        </r>
        <r>
          <rPr>
            <sz val="9"/>
            <color indexed="81"/>
            <rFont val="Tahoma"/>
            <charset val="1"/>
          </rPr>
          <t xml:space="preserve">
Amount of Medical Rembrusment</t>
        </r>
      </text>
    </comment>
    <comment ref="D31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येथे जे आयकर मध्ये वजाती चा फायदा मीळत नाही परंतु पगारामधुन कपात होते त्यांची एकुण रक्कम</t>
        </r>
      </text>
    </comment>
    <comment ref="D32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येथे जे आयकर मध्ये वजाती चा फायदा मीळत नाही परंतु पगारामधुन कपात होते त्यांची एकुण रक्कम</t>
        </r>
      </text>
    </comment>
  </commentList>
</comments>
</file>

<file path=xl/comments2.xml><?xml version="1.0" encoding="utf-8"?>
<comments xmlns="http://schemas.openxmlformats.org/spreadsheetml/2006/main">
  <authors>
    <author>Pramod Puri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Pramod
D.A. arreress Feb 2018 paid in March 2018</t>
        </r>
      </text>
    </comment>
    <comment ref="E9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7 pay cash Arrears</t>
        </r>
      </text>
    </comment>
    <comment ref="E1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7 pay Arrears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D.A.Arreurs 14 Months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D.A.Arrers 9 Months</t>
        </r>
      </text>
    </comment>
    <comment ref="Q19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येथे जी रक्कम पगारातुन कपात होत नाही अशी घरबांधणी मुददल व बाजुच्या सेल मध्ये व्याजाची रक्कम टाकावी</t>
        </r>
      </text>
    </comment>
    <comment ref="E2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Please fill here Arreres amount</t>
        </r>
      </text>
    </comment>
    <comment ref="M20" authorId="0" shapeId="0">
      <text>
        <r>
          <rPr>
            <b/>
            <sz val="9"/>
            <color indexed="81"/>
            <rFont val="Tahoma"/>
          </rPr>
          <t>Pramod Puri:</t>
        </r>
        <r>
          <rPr>
            <sz val="9"/>
            <color indexed="81"/>
            <rFont val="Tahoma"/>
          </rPr>
          <t xml:space="preserve">
Gpf 1st instalment Show here</t>
        </r>
      </text>
    </comment>
  </commentList>
</comments>
</file>

<file path=xl/comments3.xml><?xml version="1.0" encoding="utf-8"?>
<comments xmlns="http://schemas.openxmlformats.org/spreadsheetml/2006/main">
  <authors>
    <author>pwd</author>
    <author>Pramod Puri</author>
  </authors>
  <commentList>
    <comment ref="Q21" authorId="0" shapeId="0">
      <text>
        <r>
          <rPr>
            <b/>
            <sz val="8"/>
            <color indexed="81"/>
            <rFont val="Tahoma"/>
            <family val="2"/>
          </rPr>
          <t>pwd:</t>
        </r>
        <r>
          <rPr>
            <sz val="8"/>
            <color indexed="81"/>
            <rFont val="Tahoma"/>
            <family val="2"/>
          </rPr>
          <t xml:space="preserve">
HRA PAID AS PER HOUSE RENT RECEIPT
</t>
        </r>
      </text>
    </comment>
    <comment ref="K31" authorId="1" shapeId="0">
      <text>
        <r>
          <rPr>
            <b/>
            <sz val="9"/>
            <color indexed="81"/>
            <rFont val="Tahoma"/>
            <family val="2"/>
          </rPr>
          <t>Pramod Puri:</t>
        </r>
        <r>
          <rPr>
            <sz val="9"/>
            <color indexed="81"/>
            <rFont val="Tahoma"/>
            <family val="2"/>
          </rPr>
          <t xml:space="preserve">
If Sr No 14 amount and Total of 80c is greter than 150000 then diffrance of NPS add in This cell</t>
        </r>
      </text>
    </comment>
  </commentList>
</comments>
</file>

<file path=xl/comments4.xml><?xml version="1.0" encoding="utf-8"?>
<comments xmlns="http://schemas.openxmlformats.org/spreadsheetml/2006/main">
  <authors>
    <author>Pramod Puri</author>
  </authors>
  <commentList>
    <comment ref="J84" authorId="0" shapeId="0">
      <text>
        <r>
          <rPr>
            <b/>
            <sz val="9"/>
            <color indexed="81"/>
            <rFont val="Tahoma"/>
            <charset val="1"/>
          </rPr>
          <t>Pramod Puri:</t>
        </r>
        <r>
          <rPr>
            <sz val="9"/>
            <color indexed="81"/>
            <rFont val="Tahoma"/>
            <charset val="1"/>
          </rPr>
          <t xml:space="preserve">
Please add Your Tresury</t>
        </r>
      </text>
    </comment>
  </commentList>
</comments>
</file>

<file path=xl/sharedStrings.xml><?xml version="1.0" encoding="utf-8"?>
<sst xmlns="http://schemas.openxmlformats.org/spreadsheetml/2006/main" count="618" uniqueCount="425">
  <si>
    <t>I.T.</t>
  </si>
  <si>
    <t>FORM  NO.  16</t>
  </si>
  <si>
    <t>[See  Rule 31(1)(a)]</t>
  </si>
  <si>
    <t>Name and address of the Employer</t>
  </si>
  <si>
    <t>Name and Designation of the employee</t>
  </si>
  <si>
    <t>Period</t>
  </si>
  <si>
    <t>From</t>
  </si>
  <si>
    <t>To</t>
  </si>
  <si>
    <t>DETAILS OF SALARY PAID AND ANY OTHER INCOME  AND TAX DEDUCTED.</t>
  </si>
  <si>
    <t>Gross  Salary</t>
  </si>
  <si>
    <t>Balance  ( 1 - 2 )</t>
  </si>
  <si>
    <t xml:space="preserve">    (b) Tax  on  Employment</t>
  </si>
  <si>
    <t>Income chargeable under the head 'salaries" (3 - 5 )</t>
  </si>
  <si>
    <t>Add:- Any other income reported by the employee</t>
  </si>
  <si>
    <t>Amount</t>
  </si>
  <si>
    <t>Aggregate of Deductible amount Under Chapter VI A</t>
  </si>
  <si>
    <t>Tax on total Income</t>
  </si>
  <si>
    <t>Less Tax Deducted at Source</t>
  </si>
  <si>
    <t>DETAILS OF TAX DEDUCTED AND DEPOSITED INTO CENTRAL GOVERNMENT ACCOUNT</t>
  </si>
  <si>
    <t xml:space="preserve">Name of Bank &amp; Branch where tax Deposited </t>
  </si>
  <si>
    <t>Total</t>
  </si>
  <si>
    <t>Place</t>
  </si>
  <si>
    <t>Amravati.</t>
  </si>
  <si>
    <t>Assistant Chief Engineer</t>
  </si>
  <si>
    <t>Date</t>
  </si>
  <si>
    <t>Public Works Reagion</t>
  </si>
  <si>
    <t>Amravati</t>
  </si>
  <si>
    <t>MONTH</t>
  </si>
  <si>
    <t>BASIC</t>
  </si>
  <si>
    <t>D.A.</t>
  </si>
  <si>
    <t>CLA</t>
  </si>
  <si>
    <t>HRA</t>
  </si>
  <si>
    <t>T.A.</t>
  </si>
  <si>
    <t>TOTAL</t>
  </si>
  <si>
    <t>GPF</t>
  </si>
  <si>
    <t>GIS</t>
  </si>
  <si>
    <t>PT</t>
  </si>
  <si>
    <t>DATE:--</t>
  </si>
  <si>
    <t>SIGNATURE</t>
  </si>
  <si>
    <t>1]</t>
  </si>
  <si>
    <t>SALARY</t>
  </si>
  <si>
    <t>Basic</t>
  </si>
  <si>
    <t>C.L.A</t>
  </si>
  <si>
    <t>H.R.A.</t>
  </si>
  <si>
    <t>2]</t>
  </si>
  <si>
    <t>LESS</t>
  </si>
  <si>
    <t>A)</t>
  </si>
  <si>
    <t>House Rent</t>
  </si>
  <si>
    <t>C)</t>
  </si>
  <si>
    <t>D)</t>
  </si>
  <si>
    <t>E)</t>
  </si>
  <si>
    <t>Other</t>
  </si>
  <si>
    <t>INCOME</t>
  </si>
  <si>
    <t>Interest from N.S.C.  ( 80 L )</t>
  </si>
  <si>
    <t>GROSS  INCOME     [( I- II ) + III ]</t>
  </si>
  <si>
    <t>IN MULTIPLE OF  10</t>
  </si>
  <si>
    <t>G.P.F.</t>
  </si>
  <si>
    <t>LESS   U/S 80 C</t>
  </si>
  <si>
    <t>U/S 16 (iii) Profesion Tax</t>
  </si>
  <si>
    <t>Vr. No.</t>
  </si>
  <si>
    <t>Remaning month</t>
  </si>
  <si>
    <t>Amt to be deducted, monthly</t>
  </si>
  <si>
    <t>Signature</t>
  </si>
  <si>
    <t>(</t>
  </si>
  <si>
    <t>)</t>
  </si>
  <si>
    <t>Pay Details</t>
  </si>
  <si>
    <t>Tax Calculation</t>
  </si>
  <si>
    <t>PUBLIC  WORKS  REGION, AMRAVATI</t>
  </si>
  <si>
    <t>PLI</t>
  </si>
  <si>
    <t>Sr. No.</t>
  </si>
  <si>
    <t>Month</t>
  </si>
  <si>
    <t xml:space="preserve">Quarter </t>
  </si>
  <si>
    <t>Acknowledgement  No.</t>
  </si>
  <si>
    <t>Q1</t>
  </si>
  <si>
    <t>Q2</t>
  </si>
  <si>
    <t>Q3</t>
  </si>
  <si>
    <t>Q4</t>
  </si>
  <si>
    <t>Office of The Chief Engineer, Public Works Region, Amravtai</t>
  </si>
  <si>
    <t>TOTAL I</t>
  </si>
  <si>
    <t>TOTAL II</t>
  </si>
  <si>
    <t>E) Other Income</t>
  </si>
  <si>
    <t>TOTAL III</t>
  </si>
  <si>
    <t>3 G.I.S.</t>
  </si>
  <si>
    <t>8 ULIP</t>
  </si>
  <si>
    <t xml:space="preserve">   C) Income from House</t>
  </si>
  <si>
    <t xml:space="preserve">U/S 24  Interest For House  Property  Adv </t>
  </si>
  <si>
    <t xml:space="preserve">11 CCC Pension Scheme </t>
  </si>
  <si>
    <t>4 Flag Day</t>
  </si>
  <si>
    <t xml:space="preserve">Deductions under Chapter VI A.  A) Sections 80C, 80CCC and 80CCD </t>
  </si>
  <si>
    <t>9 Tution Fees</t>
  </si>
  <si>
    <t>12 Any other Ded</t>
  </si>
  <si>
    <t>2 H.B.Loan Principal</t>
  </si>
  <si>
    <t>Other sections (e.g 80E,80G,80TTA etc.) under Chapter VI-A</t>
  </si>
  <si>
    <t>6 U/S 80EE</t>
  </si>
  <si>
    <t>U/S 80TTA (Exmpt savings Bank Int. Max Rs 10,000/-)</t>
  </si>
  <si>
    <t>Aggregate deductible amount under Chapter VI A</t>
  </si>
  <si>
    <t xml:space="preserve">Total Income </t>
  </si>
  <si>
    <t>Tax on Total income</t>
  </si>
  <si>
    <t>NET TAX (7-8)</t>
  </si>
  <si>
    <t>Tax payble (9+10)</t>
  </si>
  <si>
    <t>Less : Relief under section 89 (attach Form 10E)</t>
  </si>
  <si>
    <t>Tax Payble (11-12)</t>
  </si>
  <si>
    <t>Tax Deducted at source U/s 192(1)</t>
  </si>
  <si>
    <t>2 U/S 80 G Donation C.M.Fund</t>
  </si>
  <si>
    <t>8 U/S 80GG (max 24000/-)</t>
  </si>
  <si>
    <t>U/S 80DD ( Rs 50,000/-)</t>
  </si>
  <si>
    <t>10 U/S 80DDB (max 40000/-)</t>
  </si>
  <si>
    <t xml:space="preserve">H.R.A.  U/s  10(13A) </t>
  </si>
  <si>
    <t>B) C Allowance / T.A.  U/S 10 (14)(2BB)</t>
  </si>
  <si>
    <t xml:space="preserve"> F) L.T.A.</t>
  </si>
  <si>
    <t>G)</t>
  </si>
  <si>
    <t>H) Excess Payment Recovery</t>
  </si>
  <si>
    <t>%</t>
  </si>
  <si>
    <t>D.A.%</t>
  </si>
  <si>
    <t>:-</t>
  </si>
  <si>
    <t>H.R.A (%)</t>
  </si>
  <si>
    <t>CEILING((C23+D23)*3%,10)+C23</t>
  </si>
  <si>
    <t>G.I.S</t>
  </si>
  <si>
    <t>H.B.Advance</t>
  </si>
  <si>
    <t>H.B.Intresst</t>
  </si>
  <si>
    <t>Excess Pay</t>
  </si>
  <si>
    <t>HBA ADV.</t>
  </si>
  <si>
    <t>H.B.A Int</t>
  </si>
  <si>
    <t>NET PAY</t>
  </si>
  <si>
    <t>TOTAL DEDUC</t>
  </si>
  <si>
    <t>Yes</t>
  </si>
  <si>
    <t>No</t>
  </si>
  <si>
    <t xml:space="preserve"> U/S 80D  Mediclaim policy  ₹25000/- Previntive helth 5000/-</t>
  </si>
  <si>
    <t xml:space="preserve"> U/S 80 E  Interest on loan for Higher Education( 8 years ints)</t>
  </si>
  <si>
    <t>3]</t>
  </si>
  <si>
    <t>4]</t>
  </si>
  <si>
    <t>5]</t>
  </si>
  <si>
    <t>6]</t>
  </si>
  <si>
    <t>7]</t>
  </si>
  <si>
    <t>8]</t>
  </si>
  <si>
    <t>9]</t>
  </si>
  <si>
    <t>10]</t>
  </si>
  <si>
    <t>11]</t>
  </si>
  <si>
    <t>12]</t>
  </si>
  <si>
    <t>13]</t>
  </si>
  <si>
    <t>14]</t>
  </si>
  <si>
    <t>15]</t>
  </si>
  <si>
    <t xml:space="preserve">Name of employee :- </t>
  </si>
  <si>
    <t xml:space="preserve">,  Designation :- </t>
  </si>
  <si>
    <t xml:space="preserve">,   Pan No :-  </t>
  </si>
  <si>
    <t>District Treasury Office, Amravati.</t>
  </si>
  <si>
    <t>Amount  Rs</t>
  </si>
  <si>
    <t>Date of payment</t>
  </si>
  <si>
    <t xml:space="preserve"> thousand</t>
  </si>
  <si>
    <t xml:space="preserve"> thousand </t>
  </si>
  <si>
    <t>X</t>
  </si>
  <si>
    <t xml:space="preserve">Rs </t>
  </si>
  <si>
    <t xml:space="preserve"> Only</t>
  </si>
  <si>
    <t xml:space="preserve"> hundred</t>
  </si>
  <si>
    <t xml:space="preserve"> hundred </t>
  </si>
  <si>
    <t xml:space="preserve"> lac</t>
  </si>
  <si>
    <t xml:space="preserve"> lac </t>
  </si>
  <si>
    <t xml:space="preserve"> </t>
  </si>
  <si>
    <t xml:space="preserve"> crore</t>
  </si>
  <si>
    <t xml:space="preserve"> crore 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</si>
  <si>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</si>
  <si>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</si>
  <si>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</si>
  <si>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</si>
  <si>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</si>
  <si>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</si>
  <si>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</si>
  <si>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</si>
  <si>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</si>
  <si>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</si>
  <si>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</si>
  <si>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</si>
  <si>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</si>
  <si>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</si>
  <si>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</si>
  <si>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</si>
  <si>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</si>
  <si>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</si>
  <si>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</si>
  <si>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</si>
  <si>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</si>
  <si>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</si>
  <si>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</si>
  <si>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</si>
  <si>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</si>
  <si>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</si>
  <si>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</si>
  <si>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</si>
  <si>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</si>
  <si>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</si>
  <si>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</si>
  <si>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</si>
  <si>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</si>
  <si>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</si>
  <si>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</si>
  <si>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</si>
  <si>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</si>
  <si>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</si>
  <si>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</si>
  <si>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fourty</t>
  </si>
  <si>
    <t>fourty one</t>
  </si>
  <si>
    <t>fourty two</t>
  </si>
  <si>
    <t>fourty three</t>
  </si>
  <si>
    <t>fourty four</t>
  </si>
  <si>
    <t>fourty five</t>
  </si>
  <si>
    <t>fourty six</t>
  </si>
  <si>
    <t>fourty seven</t>
  </si>
  <si>
    <t>fourty eight</t>
  </si>
  <si>
    <t>fourty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</si>
  <si>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</si>
  <si>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</si>
  <si>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</si>
  <si>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</si>
  <si>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</si>
  <si>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</si>
  <si>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</si>
  <si>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</si>
  <si>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</si>
  <si>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</si>
  <si>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</si>
  <si>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</si>
  <si>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</si>
  <si>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</si>
  <si>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</si>
  <si>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</si>
  <si>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</si>
  <si>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</si>
  <si>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</si>
  <si>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</si>
  <si>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</si>
  <si>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</si>
  <si>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</si>
  <si>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</si>
  <si>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</si>
  <si>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</si>
  <si>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</si>
  <si>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</si>
  <si>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</si>
  <si>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</si>
  <si>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</si>
  <si>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</si>
  <si>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</si>
  <si>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</si>
  <si>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</si>
  <si>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</si>
  <si>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</si>
  <si>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</si>
  <si>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</si>
  <si>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</si>
  <si>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ninty</t>
  </si>
  <si>
    <t>ninty one</t>
  </si>
  <si>
    <t>ninty two</t>
  </si>
  <si>
    <t>ninty three</t>
  </si>
  <si>
    <t>ninty four</t>
  </si>
  <si>
    <t>ninty five</t>
  </si>
  <si>
    <t>ninty six</t>
  </si>
  <si>
    <t>ninty seven</t>
  </si>
  <si>
    <t>ninty eight</t>
  </si>
  <si>
    <t>ninty nine</t>
  </si>
  <si>
    <t>one hundred</t>
  </si>
  <si>
    <t xml:space="preserve"> /-  In Word </t>
  </si>
  <si>
    <t>has been deducted at source and paid to the credit of the Central Government. I further certify that the information given above is true and correct based on the book of accounts, documents and other available records.</t>
  </si>
  <si>
    <t>Address of the Employer</t>
  </si>
  <si>
    <t>Name of the Employer</t>
  </si>
  <si>
    <t>EMPLOYEE DETAILS</t>
  </si>
  <si>
    <t xml:space="preserve"> TAN No. </t>
  </si>
  <si>
    <t xml:space="preserve">Employer Designation </t>
  </si>
  <si>
    <t xml:space="preserve"> :- </t>
  </si>
  <si>
    <t xml:space="preserve"> :-  </t>
  </si>
  <si>
    <t xml:space="preserve">Income Tax Finacial Year  </t>
  </si>
  <si>
    <t xml:space="preserve"> Assessment Year  </t>
  </si>
  <si>
    <t>Certificate under section 203 of the Income - tax Act, 1961 for tax deducted at sourceon  "Salary"</t>
  </si>
  <si>
    <t>Finacial Year</t>
  </si>
  <si>
    <t>Assessment Year</t>
  </si>
  <si>
    <t>TAN of the Deductor</t>
  </si>
  <si>
    <t>PAN of Employee</t>
  </si>
  <si>
    <t>(a) Salary as per provisions contained in sec. 17 (1)</t>
  </si>
  <si>
    <t>(as per Form No.12BA  where applicable)</t>
  </si>
  <si>
    <t>(d) Total</t>
  </si>
  <si>
    <t>24(1)(6)</t>
  </si>
  <si>
    <t>Less :  Allowance to the extent exempt U/s 10</t>
  </si>
  <si>
    <t xml:space="preserve">(b) Value of perquisites U/s 17 ( 2 ) </t>
  </si>
  <si>
    <t xml:space="preserve">(c) Profits in lieu of salary U/s 17 ( 3 ) </t>
  </si>
  <si>
    <t>Allowance</t>
  </si>
  <si>
    <t>Medical Reimbursment [U/s 17(2)]</t>
  </si>
  <si>
    <t>Convayence allowance</t>
  </si>
  <si>
    <t>Rs.</t>
  </si>
  <si>
    <t>Deductions : U/s 16</t>
  </si>
  <si>
    <t xml:space="preserve">    (a) Entertainment allowance</t>
  </si>
  <si>
    <t xml:space="preserve">Income </t>
  </si>
  <si>
    <t>Income from Pension / Family Pension</t>
  </si>
  <si>
    <t>Income from Savings Bank interest</t>
  </si>
  <si>
    <t>Income other than Savings Bank interest</t>
  </si>
  <si>
    <t>(Loss) from House Property (H.B.lone Int.) U/s 24B</t>
  </si>
  <si>
    <t>Gross Total Income (6+7)</t>
  </si>
  <si>
    <t>Deductios under chapter VI - A</t>
  </si>
  <si>
    <t>(A) Sections 80C, 80CCC and 80 CCD</t>
  </si>
  <si>
    <t>a. Section 80 C</t>
  </si>
  <si>
    <t>i. G.P.F</t>
  </si>
  <si>
    <t>ii.H.B. Lone Principal</t>
  </si>
  <si>
    <t>iii. G.I.S. (Group Insurance)</t>
  </si>
  <si>
    <t>5 N.S.C.  INT.</t>
  </si>
  <si>
    <t>v. N.S.C.  INT.</t>
  </si>
  <si>
    <t>6.L.I.C.</t>
  </si>
  <si>
    <t>vi. L.I.C.</t>
  </si>
  <si>
    <t>vii. P.P.F.</t>
  </si>
  <si>
    <t>viii. ULIP</t>
  </si>
  <si>
    <t>ix. Tution Fees</t>
  </si>
  <si>
    <t xml:space="preserve">x. CCC Pension Scheme </t>
  </si>
  <si>
    <t>xi. Any other Ded</t>
  </si>
  <si>
    <t>xii.Section 80CCC</t>
  </si>
  <si>
    <t>xii. Section 80CCD (2)</t>
  </si>
  <si>
    <t>xiv.Section 80CCD (1B)</t>
  </si>
  <si>
    <t>(B) Other Sections (e.g. 80E,80 G.etc.) Under Chapter VI-A</t>
  </si>
  <si>
    <t>U/S 80 EE (Additional HBL housing loan up to 50,000/-)</t>
  </si>
  <si>
    <t>Taravling Allowonces</t>
  </si>
  <si>
    <t xml:space="preserve"> i. U/S 80D  Mediclaim policy  ₹25000/- Previntive helth 5000/-</t>
  </si>
  <si>
    <t xml:space="preserve"> ii. U/S 80 E  Interest on loan for Higher Education( 8 years ints)</t>
  </si>
  <si>
    <t>iii. U/S 80 U  Self Blind or Handicap (Upto Rs. 50000/-)</t>
  </si>
  <si>
    <t>iv. U/S 80 EE (Additional HBL housing loan up to 50,000/-)</t>
  </si>
  <si>
    <t>v. U/S 80TTA (Exmpt savings Bank Int. Max Rs 10,000/-)</t>
  </si>
  <si>
    <t>vi. U/S 80DD ( Rs 50,000/-)</t>
  </si>
  <si>
    <t>vii.  U/S 80 G Donation C.M.Fund</t>
  </si>
  <si>
    <t>viii. Flag Day</t>
  </si>
  <si>
    <t>ix.  U/S 80EE</t>
  </si>
  <si>
    <t>x. U/S 80GG (max 24000/-)</t>
  </si>
  <si>
    <t/>
  </si>
  <si>
    <t>Tax Payble / Tax Refundble</t>
  </si>
  <si>
    <r>
      <t>B)</t>
    </r>
    <r>
      <rPr>
        <sz val="8"/>
        <rFont val="Times New Roman"/>
        <family val="1"/>
      </rPr>
      <t xml:space="preserve"> Saving Bank Interest</t>
    </r>
  </si>
  <si>
    <t>Aggregate of 1 to 148 Limited to Rs 150000/-</t>
  </si>
  <si>
    <t>Income Tax (montly deduction)</t>
  </si>
  <si>
    <t>Income Tax Payble</t>
  </si>
  <si>
    <t>DCPS Contribution Govt.</t>
  </si>
  <si>
    <t xml:space="preserve">DCPS </t>
  </si>
  <si>
    <t>Income From House Rent</t>
  </si>
  <si>
    <t>Income From Agricultural</t>
  </si>
  <si>
    <t>G.P.F (Subcription+Deduction)</t>
  </si>
  <si>
    <t xml:space="preserve">Self House </t>
  </si>
  <si>
    <t>Deputy Engineer</t>
  </si>
  <si>
    <t>Other Recoverys total</t>
  </si>
  <si>
    <t>P.P.F</t>
  </si>
  <si>
    <r>
      <t xml:space="preserve">14 Section </t>
    </r>
    <r>
      <rPr>
        <sz val="8"/>
        <rFont val="Times New Roman"/>
        <family val="1"/>
      </rPr>
      <t>80CCD(1B)</t>
    </r>
  </si>
  <si>
    <t>Allredy benefit of H.B. Intrest cal.</t>
  </si>
  <si>
    <t>Washing Allownce</t>
  </si>
  <si>
    <t>W.A.</t>
  </si>
  <si>
    <t>W.A</t>
  </si>
  <si>
    <t>DCPS Con Govt.</t>
  </si>
  <si>
    <t>DCPS Cont Emp.</t>
  </si>
  <si>
    <t>D.A .</t>
  </si>
  <si>
    <t>DCPS Cont Govt.Others</t>
  </si>
  <si>
    <t>Other / W.A.</t>
  </si>
  <si>
    <t>Diff</t>
  </si>
  <si>
    <t>D.A. Arriors/ Other</t>
  </si>
  <si>
    <t xml:space="preserve"> D) Medical Reimbursment (U/s 17(2))</t>
  </si>
  <si>
    <t xml:space="preserve">    (c)  Medical Reimbursmen</t>
  </si>
  <si>
    <t>Aggregate of 4(a) to (c)</t>
  </si>
  <si>
    <t>Other /Medical</t>
  </si>
  <si>
    <t>Section 80CCD  NPS (up to 10% Employee's) No limit</t>
  </si>
  <si>
    <t>Section 80CCD(1B) Additional contribution towards NPS (Limited to Rs. 50,000/-)</t>
  </si>
  <si>
    <t>xi.Section 80CCD  NPS (up to 10% Employee's) No limit</t>
  </si>
  <si>
    <t xml:space="preserve">Name </t>
  </si>
  <si>
    <t>Shri S.V.Thakare</t>
  </si>
  <si>
    <t>Designation</t>
  </si>
  <si>
    <t>Office</t>
  </si>
  <si>
    <t>Public Works Region Amravati</t>
  </si>
  <si>
    <t>O.B.</t>
  </si>
  <si>
    <t>Refund</t>
  </si>
  <si>
    <t>C.B</t>
  </si>
  <si>
    <t>Accured Interest</t>
  </si>
  <si>
    <t>x  9.5/100/12</t>
  </si>
  <si>
    <t>x 9.5/100/12</t>
  </si>
  <si>
    <t>Accured Interest =</t>
  </si>
  <si>
    <t>x</t>
  </si>
  <si>
    <t>=</t>
  </si>
  <si>
    <t>Accured Interest  =</t>
  </si>
  <si>
    <t>CERTIFICATE</t>
  </si>
  <si>
    <t xml:space="preserve">It is certified that the House Loan sanctioned to Shri S.V.Thakare Deputy Engineer </t>
  </si>
  <si>
    <t xml:space="preserve"> from Govt. of Maharashtra is Rs. 9,52,000/- the accured interest (Not Paid) for the </t>
  </si>
  <si>
    <t>year 01.04.2017 to 31.03.2018 is worked out to Rs. 52907/-Rs. Fifty Two thousand Nine</t>
  </si>
  <si>
    <t>hundred seven only.</t>
  </si>
  <si>
    <t>SBI Life</t>
  </si>
  <si>
    <t>iv. SBI Life</t>
  </si>
  <si>
    <t>10A</t>
  </si>
  <si>
    <t>Standard Deduction</t>
  </si>
  <si>
    <t>Section 80CCC / Grup Ins.</t>
  </si>
  <si>
    <t xml:space="preserve">H.R.A. U/s 10(13A) / U/S 24  Int For House Pro.Adv </t>
  </si>
  <si>
    <t>EDUCATION CESS 4%</t>
  </si>
  <si>
    <t>Total Income  (10-11)</t>
  </si>
  <si>
    <t>NET TAX (13-14)</t>
  </si>
  <si>
    <t>Tax payable (15+16)</t>
  </si>
  <si>
    <t>Tax payable / Refundable (17-18)</t>
  </si>
  <si>
    <t>U/S 80 U  Self Blind or Handicap (Upto Rs. 75000/-/ 125000/-)</t>
  </si>
  <si>
    <t>( A.A.Ganorkar )</t>
  </si>
  <si>
    <r>
      <t xml:space="preserve">         </t>
    </r>
    <r>
      <rPr>
        <b/>
        <sz val="12"/>
        <rFont val="Yu Gothic UI Semilight"/>
        <family val="2"/>
      </rPr>
      <t xml:space="preserve"> I,Anant Ambadas Ganorkar</t>
    </r>
    <r>
      <rPr>
        <sz val="12"/>
        <rFont val="Yu Gothic UI Semilight"/>
        <family val="2"/>
      </rPr>
      <t xml:space="preserve"> son of  </t>
    </r>
    <r>
      <rPr>
        <b/>
        <sz val="12"/>
        <rFont val="Yu Gothic UI Semilight"/>
        <family val="2"/>
      </rPr>
      <t>Shri Ambadas Ganorkar</t>
    </r>
    <r>
      <rPr>
        <sz val="12"/>
        <rFont val="Yu Gothic UI Semilight"/>
        <family val="2"/>
      </rPr>
      <t xml:space="preserve">, working in capacity of Assistant  Chief  Engineer, Public  Works  Reagion,  Amravati  do   hereby certify that the sum of  </t>
    </r>
  </si>
  <si>
    <t>less Rebate U/s 87 A (Rs 12,500/- up to Rs 5,00,000/- Taxable income</t>
  </si>
  <si>
    <t>7 Pay Arriers</t>
  </si>
  <si>
    <t xml:space="preserve">Other Payments </t>
  </si>
  <si>
    <t>D.A.Arriers</t>
  </si>
  <si>
    <t>D.A. -7 Pay Arriors / Other</t>
  </si>
  <si>
    <t>OTH ERS</t>
  </si>
  <si>
    <t>House Rent Paid Total Amount</t>
  </si>
  <si>
    <t>14 Section 80CCD (1)</t>
  </si>
  <si>
    <t>Section 80CCD (2)  NPS (up to 14% Employee's) up to 20%</t>
  </si>
  <si>
    <t>01/04/2020 To 31/03/2021</t>
  </si>
  <si>
    <t>2021-2022</t>
  </si>
  <si>
    <t>Shri P.D.Naoghare</t>
  </si>
  <si>
    <t xml:space="preserve">Chief Engineer </t>
  </si>
  <si>
    <t>Bandhakam Bhavan,  Public Works Reagion, Camp Road, Amravati. 444 602.</t>
  </si>
  <si>
    <t>Shri Pramod Mahadeo Puri</t>
  </si>
  <si>
    <t>Senior Clerk</t>
  </si>
  <si>
    <t>Basic 01/03/2020</t>
  </si>
  <si>
    <t>01.04.2020</t>
  </si>
  <si>
    <t>31.03.2021</t>
  </si>
  <si>
    <t>2021-22</t>
  </si>
  <si>
    <t>TOTAL Deduction (Only NPS/-)</t>
  </si>
  <si>
    <t>Total Income</t>
  </si>
  <si>
    <t xml:space="preserve">Other sections (e.g 80E,80G,80TTA etc.) </t>
  </si>
  <si>
    <t>Perticulars</t>
  </si>
  <si>
    <t>Old Slab of Income Tax</t>
  </si>
  <si>
    <t>New Slab of Income Tax</t>
  </si>
  <si>
    <t>Total Deduction</t>
  </si>
  <si>
    <t>Please Select Old Option Please</t>
  </si>
  <si>
    <t>Please Select New Option Please</t>
  </si>
  <si>
    <t>Section 80CCD (2)  NPS (up to 14% Employee's)</t>
  </si>
  <si>
    <t>https://www.incometaxindiaefiling.gov.in/Tax_Calculator/index.html?lang=eng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</si>
</sst>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&quot;₹&quot;\ #,##0.00"/>
    <numFmt numFmtId="166" formatCode="&quot;₹&quot;\ #,##0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5"/>
      <color indexed="10"/>
      <name val="Times New Roman"/>
      <family val="1"/>
    </font>
    <font>
      <b/>
      <sz val="20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Century Gothic"/>
      <family val="2"/>
    </font>
    <font>
      <b/>
      <sz val="12"/>
      <color indexed="10"/>
      <name val="Times New Roman"/>
      <family val="1"/>
    </font>
    <font>
      <sz val="10"/>
      <color indexed="17"/>
      <name val="Arial"/>
      <family val="2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Yu Gothic UI Semilight"/>
      <family val="2"/>
    </font>
    <font>
      <b/>
      <sz val="12"/>
      <name val="Yu Gothic UI Semilight"/>
      <family val="2"/>
    </font>
    <font>
      <b/>
      <sz val="12"/>
      <name val="Copperplate Gothic Bold"/>
      <family val="2"/>
    </font>
    <font>
      <sz val="9"/>
      <name val="Arial Narrow"/>
      <family val="2"/>
    </font>
    <font>
      <sz val="10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2"/>
      <color indexed="10"/>
      <name val="DVB-TTSurekh"/>
      <family val="5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8"/>
      <name val="Times New Roman"/>
      <family val="1"/>
    </font>
    <font>
      <sz val="6"/>
      <name val="Times New Roman"/>
      <family val="1"/>
    </font>
    <font>
      <sz val="10"/>
      <color rgb="FFFF0000"/>
      <name val="Arial Narrow"/>
      <family val="2"/>
    </font>
    <font>
      <b/>
      <i/>
      <u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 Narrow"/>
      <family val="2"/>
    </font>
    <font>
      <sz val="10"/>
      <name val="DVOT-Surekh"/>
    </font>
    <font>
      <u/>
      <sz val="10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2"/>
    <xf numFmtId="0" fontId="21" fillId="0" borderId="0"/>
    <xf numFmtId="0" fontId="35" fillId="0" borderId="0"/>
    <xf numFmtId="0" fontId="49" fillId="0" borderId="0" applyNumberFormat="0" applyFill="0" applyBorder="0" applyAlignment="0" applyProtection="0"/>
  </cellStyleXfs>
  <cellXfs count="62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5" xfId="1" applyFont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3" borderId="0" xfId="1" applyFont="1" applyFill="1" applyAlignment="1">
      <alignment vertical="center"/>
    </xf>
    <xf numFmtId="1" fontId="10" fillId="3" borderId="0" xfId="1" applyNumberFormat="1" applyFont="1" applyFill="1" applyAlignment="1">
      <alignment vertical="center"/>
    </xf>
    <xf numFmtId="17" fontId="11" fillId="4" borderId="0" xfId="1" applyNumberFormat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164" fontId="4" fillId="0" borderId="0" xfId="1" applyNumberFormat="1" applyFont="1" applyAlignment="1">
      <alignment vertical="center"/>
    </xf>
    <xf numFmtId="0" fontId="4" fillId="5" borderId="0" xfId="1" applyFont="1" applyFill="1" applyAlignment="1">
      <alignment horizontal="centerContinuous" vertical="center"/>
    </xf>
    <xf numFmtId="164" fontId="4" fillId="5" borderId="0" xfId="1" applyNumberFormat="1" applyFont="1" applyFill="1" applyAlignment="1">
      <alignment vertical="center"/>
    </xf>
    <xf numFmtId="0" fontId="4" fillId="5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centerContinuous" vertical="center"/>
    </xf>
    <xf numFmtId="0" fontId="14" fillId="6" borderId="0" xfId="1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4" fillId="3" borderId="0" xfId="1" applyFont="1" applyFill="1" applyAlignment="1">
      <alignment horizontal="centerContinuous" vertical="center"/>
    </xf>
    <xf numFmtId="164" fontId="4" fillId="3" borderId="0" xfId="1" applyNumberFormat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2" fontId="15" fillId="0" borderId="0" xfId="1" applyNumberFormat="1" applyFont="1" applyBorder="1" applyAlignment="1">
      <alignment vertical="center"/>
    </xf>
    <xf numFmtId="0" fontId="17" fillId="3" borderId="0" xfId="1" applyFont="1" applyFill="1" applyAlignment="1">
      <alignment vertical="center"/>
    </xf>
    <xf numFmtId="0" fontId="18" fillId="3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0" fillId="7" borderId="0" xfId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16" fontId="2" fillId="0" borderId="0" xfId="1" applyNumberFormat="1" applyFont="1" applyAlignment="1">
      <alignment vertical="center"/>
    </xf>
    <xf numFmtId="0" fontId="1" fillId="0" borderId="0" xfId="0" applyFont="1"/>
    <xf numFmtId="14" fontId="0" fillId="0" borderId="0" xfId="0" applyNumberFormat="1"/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4" fontId="19" fillId="0" borderId="42" xfId="0" applyNumberFormat="1" applyFont="1" applyBorder="1" applyAlignment="1">
      <alignment horizontal="center"/>
    </xf>
    <xf numFmtId="14" fontId="19" fillId="0" borderId="44" xfId="0" applyNumberFormat="1" applyFont="1" applyBorder="1" applyAlignment="1">
      <alignment horizontal="center"/>
    </xf>
    <xf numFmtId="2" fontId="19" fillId="0" borderId="45" xfId="0" applyNumberFormat="1" applyFont="1" applyBorder="1" applyAlignment="1">
      <alignment horizontal="center"/>
    </xf>
    <xf numFmtId="0" fontId="2" fillId="0" borderId="48" xfId="2" applyFont="1" applyBorder="1" applyAlignment="1">
      <alignment horizontal="center" vertical="center"/>
    </xf>
    <xf numFmtId="0" fontId="21" fillId="0" borderId="2" xfId="4"/>
    <xf numFmtId="0" fontId="21" fillId="0" borderId="0" xfId="5"/>
    <xf numFmtId="0" fontId="21" fillId="0" borderId="0" xfId="5" applyFont="1"/>
    <xf numFmtId="0" fontId="21" fillId="0" borderId="0" xfId="5" applyNumberFormat="1"/>
    <xf numFmtId="0" fontId="22" fillId="0" borderId="0" xfId="5" applyFont="1"/>
    <xf numFmtId="0" fontId="21" fillId="0" borderId="0" xfId="5" applyAlignment="1">
      <alignment vertical="center" wrapText="1"/>
    </xf>
    <xf numFmtId="0" fontId="0" fillId="0" borderId="2" xfId="4" applyFont="1"/>
    <xf numFmtId="0" fontId="1" fillId="0" borderId="2" xfId="4" applyFont="1"/>
    <xf numFmtId="165" fontId="3" fillId="0" borderId="0" xfId="1" applyNumberFormat="1" applyFont="1" applyBorder="1" applyAlignment="1">
      <alignment vertical="center"/>
    </xf>
    <xf numFmtId="165" fontId="21" fillId="0" borderId="2" xfId="4" applyNumberFormat="1"/>
    <xf numFmtId="0" fontId="3" fillId="0" borderId="0" xfId="1" applyFont="1" applyBorder="1" applyAlignment="1">
      <alignment horizontal="left"/>
    </xf>
    <xf numFmtId="165" fontId="3" fillId="0" borderId="0" xfId="1" applyNumberFormat="1" applyFont="1" applyAlignment="1">
      <alignment vertical="center"/>
    </xf>
    <xf numFmtId="0" fontId="2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14" fontId="3" fillId="0" borderId="0" xfId="1" applyNumberFormat="1" applyFont="1" applyAlignment="1">
      <alignment horizontal="left" vertical="center"/>
    </xf>
    <xf numFmtId="165" fontId="32" fillId="0" borderId="0" xfId="1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2" fontId="36" fillId="0" borderId="2" xfId="4" applyNumberFormat="1" applyFont="1" applyBorder="1" applyAlignment="1">
      <alignment vertical="center"/>
    </xf>
    <xf numFmtId="0" fontId="36" fillId="0" borderId="2" xfId="4" applyFont="1" applyBorder="1" applyAlignment="1">
      <alignment vertical="center"/>
    </xf>
    <xf numFmtId="165" fontId="15" fillId="0" borderId="0" xfId="1" applyNumberFormat="1" applyFont="1" applyAlignment="1">
      <alignment vertical="center"/>
    </xf>
    <xf numFmtId="0" fontId="1" fillId="0" borderId="0" xfId="0" applyFont="1" applyAlignment="1">
      <alignment horizontal="right"/>
    </xf>
    <xf numFmtId="9" fontId="0" fillId="0" borderId="0" xfId="3" applyFont="1"/>
    <xf numFmtId="0" fontId="0" fillId="10" borderId="0" xfId="0" applyFill="1"/>
    <xf numFmtId="0" fontId="1" fillId="10" borderId="0" xfId="0" applyFont="1" applyFill="1"/>
    <xf numFmtId="0" fontId="0" fillId="10" borderId="0" xfId="0" applyFill="1" applyAlignment="1">
      <alignment vertical="top"/>
    </xf>
    <xf numFmtId="0" fontId="1" fillId="10" borderId="0" xfId="0" applyFont="1" applyFill="1" applyAlignment="1">
      <alignment vertical="top" wrapText="1"/>
    </xf>
    <xf numFmtId="0" fontId="0" fillId="10" borderId="0" xfId="0" applyFill="1" applyAlignment="1">
      <alignment horizontal="left"/>
    </xf>
    <xf numFmtId="18" fontId="25" fillId="10" borderId="0" xfId="0" applyNumberFormat="1" applyFont="1" applyFill="1"/>
    <xf numFmtId="0" fontId="25" fillId="10" borderId="0" xfId="0" applyFont="1" applyFill="1"/>
    <xf numFmtId="0" fontId="25" fillId="10" borderId="0" xfId="0" applyFont="1" applyFill="1" applyAlignment="1">
      <alignment horizontal="left"/>
    </xf>
    <xf numFmtId="9" fontId="0" fillId="10" borderId="0" xfId="3" applyFont="1" applyFill="1" applyAlignment="1">
      <alignment horizontal="left"/>
    </xf>
    <xf numFmtId="9" fontId="1" fillId="10" borderId="0" xfId="3" applyFont="1" applyFill="1" applyAlignment="1">
      <alignment horizontal="left"/>
    </xf>
    <xf numFmtId="0" fontId="0" fillId="11" borderId="0" xfId="0" applyFill="1"/>
    <xf numFmtId="0" fontId="1" fillId="11" borderId="0" xfId="0" applyFont="1" applyFill="1"/>
    <xf numFmtId="0" fontId="0" fillId="11" borderId="0" xfId="0" applyFill="1" applyAlignment="1">
      <alignment horizontal="left"/>
    </xf>
    <xf numFmtId="9" fontId="0" fillId="11" borderId="0" xfId="3" applyFont="1" applyFill="1" applyAlignment="1">
      <alignment horizontal="left"/>
    </xf>
    <xf numFmtId="0" fontId="25" fillId="10" borderId="0" xfId="0" applyFont="1" applyFill="1" applyAlignment="1"/>
    <xf numFmtId="0" fontId="25" fillId="10" borderId="0" xfId="0" applyFont="1" applyFill="1" applyAlignment="1">
      <alignment horizontal="right"/>
    </xf>
    <xf numFmtId="0" fontId="21" fillId="0" borderId="46" xfId="4" applyNumberFormat="1" applyBorder="1" applyAlignment="1">
      <alignment horizontal="center" vertical="center"/>
    </xf>
    <xf numFmtId="2" fontId="36" fillId="0" borderId="46" xfId="4" applyNumberFormat="1" applyFont="1" applyBorder="1" applyAlignment="1">
      <alignment vertical="center"/>
    </xf>
    <xf numFmtId="0" fontId="36" fillId="0" borderId="46" xfId="4" applyFont="1" applyBorder="1" applyAlignment="1">
      <alignment vertical="center"/>
    </xf>
    <xf numFmtId="0" fontId="3" fillId="12" borderId="3" xfId="1" applyFont="1" applyFill="1" applyBorder="1" applyAlignment="1">
      <alignment horizontal="center" vertical="center"/>
    </xf>
    <xf numFmtId="0" fontId="3" fillId="12" borderId="4" xfId="1" applyFont="1" applyFill="1" applyBorder="1" applyAlignment="1">
      <alignment horizontal="center" vertical="center"/>
    </xf>
    <xf numFmtId="17" fontId="8" fillId="12" borderId="2" xfId="1" applyNumberFormat="1" applyFont="1" applyFill="1" applyBorder="1" applyAlignment="1">
      <alignment horizontal="left" vertical="center"/>
    </xf>
    <xf numFmtId="0" fontId="8" fillId="12" borderId="2" xfId="0" applyFont="1" applyFill="1" applyBorder="1" applyAlignment="1">
      <alignment horizontal="center" vertical="center"/>
    </xf>
    <xf numFmtId="0" fontId="4" fillId="12" borderId="5" xfId="1" applyFont="1" applyFill="1" applyBorder="1" applyAlignment="1">
      <alignment horizontal="center" vertical="center"/>
    </xf>
    <xf numFmtId="0" fontId="4" fillId="12" borderId="67" xfId="1" applyFont="1" applyFill="1" applyBorder="1" applyAlignment="1">
      <alignment horizontal="center" vertical="center"/>
    </xf>
    <xf numFmtId="0" fontId="24" fillId="12" borderId="2" xfId="1" applyFont="1" applyFill="1" applyBorder="1" applyAlignment="1">
      <alignment horizontal="center" vertical="center"/>
    </xf>
    <xf numFmtId="0" fontId="3" fillId="13" borderId="3" xfId="1" applyFont="1" applyFill="1" applyBorder="1" applyAlignment="1">
      <alignment horizontal="center" vertical="center" wrapText="1"/>
    </xf>
    <xf numFmtId="0" fontId="8" fillId="13" borderId="3" xfId="1" applyFont="1" applyFill="1" applyBorder="1" applyAlignment="1">
      <alignment horizontal="center" vertical="center" wrapText="1"/>
    </xf>
    <xf numFmtId="0" fontId="2" fillId="13" borderId="3" xfId="1" applyFont="1" applyFill="1" applyBorder="1" applyAlignment="1">
      <alignment horizontal="center" vertical="center" wrapText="1"/>
    </xf>
    <xf numFmtId="17" fontId="8" fillId="13" borderId="2" xfId="1" applyNumberFormat="1" applyFont="1" applyFill="1" applyBorder="1" applyAlignment="1">
      <alignment horizontal="left" vertical="center"/>
    </xf>
    <xf numFmtId="17" fontId="2" fillId="13" borderId="2" xfId="1" applyNumberFormat="1" applyFont="1" applyFill="1" applyBorder="1" applyAlignment="1">
      <alignment horizontal="center" vertical="center"/>
    </xf>
    <xf numFmtId="10" fontId="3" fillId="0" borderId="0" xfId="3" applyNumberFormat="1" applyFont="1" applyAlignment="1">
      <alignment vertical="center"/>
    </xf>
    <xf numFmtId="17" fontId="2" fillId="13" borderId="2" xfId="0" applyNumberFormat="1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2" fillId="13" borderId="2" xfId="2" applyFont="1" applyFill="1" applyBorder="1" applyAlignment="1">
      <alignment horizontal="center" vertical="center"/>
    </xf>
    <xf numFmtId="17" fontId="2" fillId="12" borderId="2" xfId="0" applyNumberFormat="1" applyFont="1" applyFill="1" applyBorder="1" applyAlignment="1">
      <alignment horizontal="center" vertical="center"/>
    </xf>
    <xf numFmtId="0" fontId="2" fillId="12" borderId="2" xfId="2" applyFont="1" applyFill="1" applyBorder="1" applyAlignment="1">
      <alignment horizontal="center" vertical="center"/>
    </xf>
    <xf numFmtId="17" fontId="2" fillId="13" borderId="2" xfId="0" applyNumberFormat="1" applyFont="1" applyFill="1" applyBorder="1" applyAlignment="1">
      <alignment horizontal="center" vertical="center" wrapText="1"/>
    </xf>
    <xf numFmtId="0" fontId="3" fillId="13" borderId="0" xfId="1" applyFont="1" applyFill="1" applyAlignment="1">
      <alignment vertical="center"/>
    </xf>
    <xf numFmtId="0" fontId="4" fillId="13" borderId="0" xfId="1" applyFont="1" applyFill="1" applyAlignment="1">
      <alignment vertical="center"/>
    </xf>
    <xf numFmtId="0" fontId="3" fillId="13" borderId="0" xfId="1" applyFont="1" applyFill="1" applyAlignment="1">
      <alignment horizontal="right" vertical="center"/>
    </xf>
    <xf numFmtId="0" fontId="3" fillId="13" borderId="26" xfId="1" applyFont="1" applyFill="1" applyBorder="1" applyAlignment="1">
      <alignment vertical="center"/>
    </xf>
    <xf numFmtId="0" fontId="3" fillId="13" borderId="35" xfId="1" applyFont="1" applyFill="1" applyBorder="1" applyAlignment="1">
      <alignment vertical="center"/>
    </xf>
    <xf numFmtId="0" fontId="3" fillId="13" borderId="27" xfId="1" applyFont="1" applyFill="1" applyBorder="1" applyAlignment="1">
      <alignment horizontal="center" vertical="center"/>
    </xf>
    <xf numFmtId="0" fontId="3" fillId="13" borderId="2" xfId="1" applyFont="1" applyFill="1" applyBorder="1" applyAlignment="1">
      <alignment horizontal="center" vertical="center"/>
    </xf>
    <xf numFmtId="165" fontId="23" fillId="13" borderId="2" xfId="1" applyNumberFormat="1" applyFont="1" applyFill="1" applyBorder="1" applyAlignment="1">
      <alignment horizontal="center" vertical="center"/>
    </xf>
    <xf numFmtId="165" fontId="3" fillId="13" borderId="2" xfId="1" applyNumberFormat="1" applyFont="1" applyFill="1" applyBorder="1" applyAlignment="1">
      <alignment horizontal="center" vertical="center"/>
    </xf>
    <xf numFmtId="165" fontId="2" fillId="13" borderId="2" xfId="1" applyNumberFormat="1" applyFont="1" applyFill="1" applyBorder="1" applyAlignment="1">
      <alignment horizontal="center" vertical="center"/>
    </xf>
    <xf numFmtId="165" fontId="2" fillId="13" borderId="2" xfId="1" applyNumberFormat="1" applyFont="1" applyFill="1" applyBorder="1" applyAlignment="1">
      <alignment vertical="center"/>
    </xf>
    <xf numFmtId="0" fontId="3" fillId="13" borderId="62" xfId="1" applyFont="1" applyFill="1" applyBorder="1" applyAlignment="1">
      <alignment horizontal="right" vertical="center"/>
    </xf>
    <xf numFmtId="4" fontId="3" fillId="13" borderId="2" xfId="1" applyNumberFormat="1" applyFont="1" applyFill="1" applyBorder="1" applyAlignment="1">
      <alignment horizontal="center" vertical="center"/>
    </xf>
    <xf numFmtId="165" fontId="23" fillId="13" borderId="34" xfId="1" applyNumberFormat="1" applyFont="1" applyFill="1" applyBorder="1" applyAlignment="1">
      <alignment horizontal="center" vertical="center"/>
    </xf>
    <xf numFmtId="0" fontId="3" fillId="13" borderId="27" xfId="1" applyFont="1" applyFill="1" applyBorder="1" applyAlignment="1">
      <alignment vertical="center"/>
    </xf>
    <xf numFmtId="0" fontId="3" fillId="13" borderId="0" xfId="1" applyFont="1" applyFill="1" applyBorder="1" applyAlignment="1">
      <alignment vertical="center"/>
    </xf>
    <xf numFmtId="4" fontId="3" fillId="13" borderId="0" xfId="1" applyNumberFormat="1" applyFont="1" applyFill="1" applyBorder="1" applyAlignment="1">
      <alignment vertical="center"/>
    </xf>
    <xf numFmtId="0" fontId="3" fillId="13" borderId="36" xfId="1" applyFont="1" applyFill="1" applyBorder="1" applyAlignment="1">
      <alignment vertical="center"/>
    </xf>
    <xf numFmtId="0" fontId="3" fillId="13" borderId="28" xfId="1" applyFont="1" applyFill="1" applyBorder="1" applyAlignment="1">
      <alignment vertical="center"/>
    </xf>
    <xf numFmtId="0" fontId="3" fillId="13" borderId="29" xfId="1" applyFont="1" applyFill="1" applyBorder="1" applyAlignment="1">
      <alignment vertical="center"/>
    </xf>
    <xf numFmtId="4" fontId="3" fillId="13" borderId="29" xfId="1" applyNumberFormat="1" applyFont="1" applyFill="1" applyBorder="1" applyAlignment="1">
      <alignment vertical="center"/>
    </xf>
    <xf numFmtId="0" fontId="4" fillId="13" borderId="30" xfId="1" applyFont="1" applyFill="1" applyBorder="1" applyAlignment="1">
      <alignment vertical="center"/>
    </xf>
    <xf numFmtId="165" fontId="4" fillId="13" borderId="32" xfId="1" applyNumberFormat="1" applyFont="1" applyFill="1" applyBorder="1" applyAlignment="1">
      <alignment vertical="center"/>
    </xf>
    <xf numFmtId="0" fontId="4" fillId="13" borderId="0" xfId="1" applyFont="1" applyFill="1" applyBorder="1" applyAlignment="1">
      <alignment vertical="center"/>
    </xf>
    <xf numFmtId="0" fontId="3" fillId="13" borderId="25" xfId="1" applyFont="1" applyFill="1" applyBorder="1" applyAlignment="1">
      <alignment horizontal="right" vertical="center"/>
    </xf>
    <xf numFmtId="165" fontId="23" fillId="13" borderId="33" xfId="1" applyNumberFormat="1" applyFont="1" applyFill="1" applyBorder="1" applyAlignment="1">
      <alignment horizontal="center" vertical="center"/>
    </xf>
    <xf numFmtId="0" fontId="3" fillId="13" borderId="27" xfId="1" applyFont="1" applyFill="1" applyBorder="1" applyAlignment="1">
      <alignment horizontal="right" vertical="center"/>
    </xf>
    <xf numFmtId="0" fontId="2" fillId="13" borderId="27" xfId="1" applyFont="1" applyFill="1" applyBorder="1" applyAlignment="1">
      <alignment vertical="center"/>
    </xf>
    <xf numFmtId="165" fontId="23" fillId="13" borderId="19" xfId="1" applyNumberFormat="1" applyFont="1" applyFill="1" applyBorder="1" applyAlignment="1">
      <alignment horizontal="center" vertical="center"/>
    </xf>
    <xf numFmtId="0" fontId="3" fillId="13" borderId="14" xfId="1" applyFont="1" applyFill="1" applyBorder="1" applyAlignment="1">
      <alignment vertical="center"/>
    </xf>
    <xf numFmtId="0" fontId="4" fillId="13" borderId="2" xfId="1" applyFont="1" applyFill="1" applyBorder="1" applyAlignment="1">
      <alignment vertical="center"/>
    </xf>
    <xf numFmtId="165" fontId="4" fillId="13" borderId="34" xfId="1" applyNumberFormat="1" applyFont="1" applyFill="1" applyBorder="1" applyAlignment="1">
      <alignment vertical="center"/>
    </xf>
    <xf numFmtId="0" fontId="3" fillId="13" borderId="27" xfId="1" applyFont="1" applyFill="1" applyBorder="1" applyAlignment="1">
      <alignment horizontal="left" vertical="center"/>
    </xf>
    <xf numFmtId="165" fontId="31" fillId="13" borderId="2" xfId="1" applyNumberFormat="1" applyFont="1" applyFill="1" applyBorder="1" applyAlignment="1">
      <alignment horizontal="center" vertical="center"/>
    </xf>
    <xf numFmtId="0" fontId="3" fillId="13" borderId="36" xfId="1" applyFont="1" applyFill="1" applyBorder="1" applyAlignment="1">
      <alignment horizontal="left" vertical="center"/>
    </xf>
    <xf numFmtId="0" fontId="2" fillId="13" borderId="27" xfId="1" applyFont="1" applyFill="1" applyBorder="1" applyAlignment="1">
      <alignment horizontal="left" vertical="center"/>
    </xf>
    <xf numFmtId="0" fontId="3" fillId="13" borderId="0" xfId="1" applyFont="1" applyFill="1" applyAlignment="1">
      <alignment horizontal="center" vertical="center"/>
    </xf>
    <xf numFmtId="0" fontId="2" fillId="13" borderId="0" xfId="1" applyFont="1" applyFill="1" applyBorder="1" applyAlignment="1">
      <alignment horizontal="left" vertical="center"/>
    </xf>
    <xf numFmtId="0" fontId="2" fillId="13" borderId="0" xfId="1" applyFont="1" applyFill="1" applyBorder="1" applyAlignment="1">
      <alignment horizontal="right" vertical="center"/>
    </xf>
    <xf numFmtId="165" fontId="24" fillId="13" borderId="0" xfId="1" applyNumberFormat="1" applyFont="1" applyFill="1" applyBorder="1" applyAlignment="1">
      <alignment horizontal="center" vertical="center"/>
    </xf>
    <xf numFmtId="0" fontId="4" fillId="13" borderId="0" xfId="1" applyFont="1" applyFill="1" applyBorder="1" applyAlignment="1">
      <alignment horizontal="right" vertical="center"/>
    </xf>
    <xf numFmtId="165" fontId="23" fillId="13" borderId="0" xfId="1" applyNumberFormat="1" applyFont="1" applyFill="1" applyBorder="1" applyAlignment="1">
      <alignment horizontal="center" vertical="center"/>
    </xf>
    <xf numFmtId="0" fontId="2" fillId="13" borderId="0" xfId="1" applyFont="1" applyFill="1" applyAlignment="1">
      <alignment vertical="center"/>
    </xf>
    <xf numFmtId="165" fontId="23" fillId="13" borderId="64" xfId="1" applyNumberFormat="1" applyFont="1" applyFill="1" applyBorder="1" applyAlignment="1">
      <alignment horizontal="center" vertical="center"/>
    </xf>
    <xf numFmtId="165" fontId="23" fillId="13" borderId="65" xfId="1" applyNumberFormat="1" applyFont="1" applyFill="1" applyBorder="1" applyAlignment="1">
      <alignment horizontal="center" vertical="center"/>
    </xf>
    <xf numFmtId="165" fontId="23" fillId="13" borderId="20" xfId="1" applyNumberFormat="1" applyFont="1" applyFill="1" applyBorder="1" applyAlignment="1">
      <alignment horizontal="center" vertical="center"/>
    </xf>
    <xf numFmtId="165" fontId="23" fillId="13" borderId="66" xfId="1" applyNumberFormat="1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vertical="center"/>
    </xf>
    <xf numFmtId="165" fontId="23" fillId="13" borderId="21" xfId="1" applyNumberFormat="1" applyFont="1" applyFill="1" applyBorder="1" applyAlignment="1">
      <alignment vertical="center"/>
    </xf>
    <xf numFmtId="165" fontId="23" fillId="13" borderId="68" xfId="1" applyNumberFormat="1" applyFont="1" applyFill="1" applyBorder="1" applyAlignment="1">
      <alignment vertical="center"/>
    </xf>
    <xf numFmtId="0" fontId="4" fillId="13" borderId="0" xfId="1" applyFont="1" applyFill="1" applyAlignment="1">
      <alignment horizontal="right" vertical="center"/>
    </xf>
    <xf numFmtId="1" fontId="4" fillId="13" borderId="0" xfId="1" applyNumberFormat="1" applyFont="1" applyFill="1" applyBorder="1" applyAlignment="1">
      <alignment vertical="center"/>
    </xf>
    <xf numFmtId="0" fontId="3" fillId="10" borderId="0" xfId="1" applyFont="1" applyFill="1" applyAlignment="1">
      <alignment vertical="center"/>
    </xf>
    <xf numFmtId="0" fontId="3" fillId="10" borderId="26" xfId="1" applyFont="1" applyFill="1" applyBorder="1" applyAlignment="1">
      <alignment vertical="center"/>
    </xf>
    <xf numFmtId="0" fontId="3" fillId="10" borderId="35" xfId="1" applyFont="1" applyFill="1" applyBorder="1" applyAlignment="1">
      <alignment vertical="center"/>
    </xf>
    <xf numFmtId="0" fontId="20" fillId="13" borderId="0" xfId="1" applyFont="1" applyFill="1" applyAlignment="1">
      <alignment horizontal="center" vertical="center"/>
    </xf>
    <xf numFmtId="0" fontId="20" fillId="13" borderId="0" xfId="1" applyFont="1" applyFill="1" applyAlignment="1">
      <alignment vertical="center"/>
    </xf>
    <xf numFmtId="0" fontId="20" fillId="10" borderId="25" xfId="1" applyFont="1" applyFill="1" applyBorder="1" applyAlignment="1">
      <alignment horizontal="center" vertical="center"/>
    </xf>
    <xf numFmtId="0" fontId="20" fillId="10" borderId="26" xfId="1" applyFont="1" applyFill="1" applyBorder="1" applyAlignment="1">
      <alignment vertical="center"/>
    </xf>
    <xf numFmtId="0" fontId="32" fillId="10" borderId="26" xfId="1" applyFont="1" applyFill="1" applyBorder="1" applyAlignment="1">
      <alignment vertical="center"/>
    </xf>
    <xf numFmtId="0" fontId="3" fillId="10" borderId="28" xfId="1" applyFont="1" applyFill="1" applyBorder="1" applyAlignment="1">
      <alignment horizontal="center" vertical="center"/>
    </xf>
    <xf numFmtId="0" fontId="3" fillId="10" borderId="30" xfId="1" applyFont="1" applyFill="1" applyBorder="1" applyAlignment="1">
      <alignment horizontal="center" vertical="center"/>
    </xf>
    <xf numFmtId="165" fontId="23" fillId="10" borderId="30" xfId="1" applyNumberFormat="1" applyFont="1" applyFill="1" applyBorder="1" applyAlignment="1">
      <alignment horizontal="center" vertical="center"/>
    </xf>
    <xf numFmtId="165" fontId="3" fillId="10" borderId="30" xfId="1" applyNumberFormat="1" applyFont="1" applyFill="1" applyBorder="1" applyAlignment="1">
      <alignment horizontal="center" vertical="center"/>
    </xf>
    <xf numFmtId="165" fontId="2" fillId="10" borderId="30" xfId="1" applyNumberFormat="1" applyFont="1" applyFill="1" applyBorder="1" applyAlignment="1">
      <alignment horizontal="center" vertical="center" wrapText="1"/>
    </xf>
    <xf numFmtId="165" fontId="4" fillId="10" borderId="38" xfId="1" applyNumberFormat="1" applyFont="1" applyFill="1" applyBorder="1" applyAlignment="1">
      <alignment horizontal="left" vertical="center"/>
    </xf>
    <xf numFmtId="165" fontId="24" fillId="10" borderId="32" xfId="1" applyNumberFormat="1" applyFont="1" applyFill="1" applyBorder="1" applyAlignment="1">
      <alignment vertical="center"/>
    </xf>
    <xf numFmtId="0" fontId="3" fillId="10" borderId="62" xfId="1" applyFont="1" applyFill="1" applyBorder="1" applyAlignment="1">
      <alignment horizontal="right" vertical="center"/>
    </xf>
    <xf numFmtId="165" fontId="23" fillId="10" borderId="34" xfId="1" applyNumberFormat="1" applyFont="1" applyFill="1" applyBorder="1" applyAlignment="1">
      <alignment horizontal="center" vertical="center"/>
    </xf>
    <xf numFmtId="165" fontId="3" fillId="10" borderId="2" xfId="1" applyNumberFormat="1" applyFont="1" applyFill="1" applyBorder="1" applyAlignment="1">
      <alignment horizontal="center" vertical="center"/>
    </xf>
    <xf numFmtId="165" fontId="23" fillId="10" borderId="2" xfId="1" applyNumberFormat="1" applyFont="1" applyFill="1" applyBorder="1" applyAlignment="1">
      <alignment horizontal="center" vertical="center"/>
    </xf>
    <xf numFmtId="0" fontId="2" fillId="10" borderId="62" xfId="1" applyFont="1" applyFill="1" applyBorder="1" applyAlignment="1">
      <alignment horizontal="right" vertical="center"/>
    </xf>
    <xf numFmtId="0" fontId="20" fillId="10" borderId="0" xfId="1" applyFont="1" applyFill="1" applyAlignment="1">
      <alignment horizontal="center" vertical="center"/>
    </xf>
    <xf numFmtId="0" fontId="20" fillId="10" borderId="0" xfId="1" applyFont="1" applyFill="1" applyAlignment="1">
      <alignment vertical="center"/>
    </xf>
    <xf numFmtId="0" fontId="3" fillId="10" borderId="0" xfId="1" applyFont="1" applyFill="1" applyBorder="1" applyAlignment="1">
      <alignment vertical="center"/>
    </xf>
    <xf numFmtId="4" fontId="3" fillId="10" borderId="0" xfId="1" applyNumberFormat="1" applyFont="1" applyFill="1" applyAlignment="1">
      <alignment vertical="center"/>
    </xf>
    <xf numFmtId="165" fontId="4" fillId="10" borderId="0" xfId="1" applyNumberFormat="1" applyFont="1" applyFill="1" applyBorder="1" applyAlignment="1">
      <alignment vertical="center"/>
    </xf>
    <xf numFmtId="0" fontId="4" fillId="10" borderId="0" xfId="1" applyFont="1" applyFill="1" applyBorder="1" applyAlignment="1">
      <alignment vertical="center"/>
    </xf>
    <xf numFmtId="0" fontId="3" fillId="10" borderId="27" xfId="1" applyFont="1" applyFill="1" applyBorder="1" applyAlignment="1">
      <alignment horizontal="right" vertical="center"/>
    </xf>
    <xf numFmtId="0" fontId="3" fillId="10" borderId="36" xfId="1" applyFont="1" applyFill="1" applyBorder="1" applyAlignment="1">
      <alignment vertical="center"/>
    </xf>
    <xf numFmtId="0" fontId="3" fillId="10" borderId="37" xfId="1" applyFont="1" applyFill="1" applyBorder="1" applyAlignment="1">
      <alignment horizontal="right" vertical="center"/>
    </xf>
    <xf numFmtId="0" fontId="3" fillId="10" borderId="30" xfId="1" applyFont="1" applyFill="1" applyBorder="1" applyAlignment="1">
      <alignment vertical="center"/>
    </xf>
    <xf numFmtId="0" fontId="4" fillId="10" borderId="30" xfId="1" applyFont="1" applyFill="1" applyBorder="1" applyAlignment="1">
      <alignment vertical="center"/>
    </xf>
    <xf numFmtId="0" fontId="4" fillId="10" borderId="30" xfId="1" applyFont="1" applyFill="1" applyBorder="1" applyAlignment="1">
      <alignment horizontal="right"/>
    </xf>
    <xf numFmtId="0" fontId="4" fillId="10" borderId="29" xfId="1" applyFont="1" applyFill="1" applyBorder="1" applyAlignment="1">
      <alignment vertical="center"/>
    </xf>
    <xf numFmtId="0" fontId="3" fillId="10" borderId="29" xfId="1" applyFont="1" applyFill="1" applyBorder="1" applyAlignment="1">
      <alignment vertical="center"/>
    </xf>
    <xf numFmtId="0" fontId="4" fillId="10" borderId="31" xfId="1" applyFont="1" applyFill="1" applyBorder="1" applyAlignment="1">
      <alignment horizontal="right" vertical="center"/>
    </xf>
    <xf numFmtId="0" fontId="3" fillId="10" borderId="25" xfId="1" applyFont="1" applyFill="1" applyBorder="1" applyAlignment="1">
      <alignment vertical="center"/>
    </xf>
    <xf numFmtId="0" fontId="3" fillId="10" borderId="27" xfId="1" applyFont="1" applyFill="1" applyBorder="1" applyAlignment="1">
      <alignment horizontal="left" vertical="center"/>
    </xf>
    <xf numFmtId="0" fontId="3" fillId="10" borderId="36" xfId="1" applyFont="1" applyFill="1" applyBorder="1" applyAlignment="1">
      <alignment horizontal="left" vertical="center"/>
    </xf>
    <xf numFmtId="0" fontId="3" fillId="10" borderId="39" xfId="1" applyFont="1" applyFill="1" applyBorder="1" applyAlignment="1">
      <alignment vertical="center"/>
    </xf>
    <xf numFmtId="0" fontId="3" fillId="10" borderId="38" xfId="1" applyFont="1" applyFill="1" applyBorder="1" applyAlignment="1">
      <alignment vertical="center"/>
    </xf>
    <xf numFmtId="0" fontId="2" fillId="10" borderId="39" xfId="1" applyFont="1" applyFill="1" applyBorder="1" applyAlignment="1">
      <alignment horizontal="left" vertical="center"/>
    </xf>
    <xf numFmtId="0" fontId="4" fillId="10" borderId="29" xfId="1" applyFont="1" applyFill="1" applyBorder="1" applyAlignment="1">
      <alignment horizontal="right" vertical="center"/>
    </xf>
    <xf numFmtId="165" fontId="24" fillId="10" borderId="2" xfId="1" applyNumberFormat="1" applyFont="1" applyFill="1" applyBorder="1" applyAlignment="1">
      <alignment horizontal="center" vertical="center"/>
    </xf>
    <xf numFmtId="0" fontId="2" fillId="10" borderId="0" xfId="1" applyFont="1" applyFill="1" applyBorder="1" applyAlignment="1">
      <alignment horizontal="left" vertical="center"/>
    </xf>
    <xf numFmtId="0" fontId="2" fillId="10" borderId="0" xfId="1" applyFont="1" applyFill="1" applyBorder="1" applyAlignment="1">
      <alignment horizontal="right" vertical="center"/>
    </xf>
    <xf numFmtId="165" fontId="24" fillId="10" borderId="0" xfId="1" applyNumberFormat="1" applyFont="1" applyFill="1" applyBorder="1" applyAlignment="1">
      <alignment horizontal="center" vertical="center"/>
    </xf>
    <xf numFmtId="0" fontId="32" fillId="10" borderId="0" xfId="1" applyFont="1" applyFill="1" applyAlignment="1">
      <alignment horizontal="right" vertical="center"/>
    </xf>
    <xf numFmtId="0" fontId="32" fillId="10" borderId="0" xfId="1" applyFont="1" applyFill="1" applyAlignment="1">
      <alignment vertical="center"/>
    </xf>
    <xf numFmtId="165" fontId="4" fillId="10" borderId="0" xfId="1" applyNumberFormat="1" applyFont="1" applyFill="1" applyAlignment="1">
      <alignment horizontal="right" vertical="center"/>
    </xf>
    <xf numFmtId="165" fontId="23" fillId="10" borderId="20" xfId="1" applyNumberFormat="1" applyFont="1" applyFill="1" applyBorder="1" applyAlignment="1">
      <alignment horizontal="center" vertical="center"/>
    </xf>
    <xf numFmtId="165" fontId="23" fillId="10" borderId="66" xfId="1" applyNumberFormat="1" applyFont="1" applyFill="1" applyBorder="1" applyAlignment="1">
      <alignment horizontal="center" vertical="center"/>
    </xf>
    <xf numFmtId="0" fontId="3" fillId="10" borderId="69" xfId="1" applyFont="1" applyFill="1" applyBorder="1" applyAlignment="1">
      <alignment horizontal="right" vertical="center"/>
    </xf>
    <xf numFmtId="0" fontId="3" fillId="10" borderId="21" xfId="1" applyFont="1" applyFill="1" applyBorder="1" applyAlignment="1">
      <alignment vertical="center"/>
    </xf>
    <xf numFmtId="0" fontId="2" fillId="10" borderId="12" xfId="1" applyFont="1" applyFill="1" applyBorder="1" applyAlignment="1">
      <alignment vertical="center"/>
    </xf>
    <xf numFmtId="0" fontId="3" fillId="10" borderId="12" xfId="1" applyFont="1" applyFill="1" applyBorder="1" applyAlignment="1">
      <alignment vertical="center"/>
    </xf>
    <xf numFmtId="0" fontId="3" fillId="10" borderId="14" xfId="1" applyFont="1" applyFill="1" applyBorder="1" applyAlignment="1">
      <alignment vertical="center"/>
    </xf>
    <xf numFmtId="165" fontId="4" fillId="10" borderId="70" xfId="1" applyNumberFormat="1" applyFont="1" applyFill="1" applyBorder="1" applyAlignment="1">
      <alignment vertical="center"/>
    </xf>
    <xf numFmtId="0" fontId="3" fillId="10" borderId="28" xfId="1" applyFont="1" applyFill="1" applyBorder="1" applyAlignment="1">
      <alignment horizontal="right" vertical="center"/>
    </xf>
    <xf numFmtId="165" fontId="24" fillId="10" borderId="30" xfId="1" applyNumberFormat="1" applyFont="1" applyFill="1" applyBorder="1" applyAlignment="1">
      <alignment vertical="center"/>
    </xf>
    <xf numFmtId="165" fontId="23" fillId="10" borderId="32" xfId="1" applyNumberFormat="1" applyFont="1" applyFill="1" applyBorder="1" applyAlignment="1">
      <alignment vertical="center"/>
    </xf>
    <xf numFmtId="1" fontId="2" fillId="10" borderId="0" xfId="1" applyNumberFormat="1" applyFont="1" applyFill="1" applyBorder="1" applyAlignment="1">
      <alignment vertical="center"/>
    </xf>
    <xf numFmtId="0" fontId="2" fillId="10" borderId="0" xfId="1" applyFont="1" applyFill="1" applyBorder="1" applyAlignment="1">
      <alignment vertical="center"/>
    </xf>
    <xf numFmtId="1" fontId="4" fillId="10" borderId="0" xfId="1" applyNumberFormat="1" applyFont="1" applyFill="1" applyBorder="1" applyAlignment="1">
      <alignment vertical="center"/>
    </xf>
    <xf numFmtId="0" fontId="2" fillId="10" borderId="0" xfId="1" applyFont="1" applyFill="1" applyAlignment="1">
      <alignment vertical="center"/>
    </xf>
    <xf numFmtId="0" fontId="3" fillId="10" borderId="0" xfId="1" applyFont="1" applyFill="1" applyAlignment="1">
      <alignment horizontal="center" vertical="center"/>
    </xf>
    <xf numFmtId="0" fontId="20" fillId="8" borderId="25" xfId="1" applyFont="1" applyFill="1" applyBorder="1" applyAlignment="1">
      <alignment horizontal="center" vertical="center"/>
    </xf>
    <xf numFmtId="0" fontId="20" fillId="8" borderId="26" xfId="1" applyFont="1" applyFill="1" applyBorder="1" applyAlignment="1">
      <alignment vertical="center"/>
    </xf>
    <xf numFmtId="0" fontId="3" fillId="8" borderId="26" xfId="1" applyFont="1" applyFill="1" applyBorder="1" applyAlignment="1">
      <alignment vertical="center"/>
    </xf>
    <xf numFmtId="4" fontId="3" fillId="8" borderId="26" xfId="1" applyNumberFormat="1" applyFont="1" applyFill="1" applyBorder="1" applyAlignment="1">
      <alignment vertical="center"/>
    </xf>
    <xf numFmtId="4" fontId="3" fillId="8" borderId="35" xfId="1" applyNumberFormat="1" applyFont="1" applyFill="1" applyBorder="1" applyAlignment="1">
      <alignment vertical="center"/>
    </xf>
    <xf numFmtId="0" fontId="16" fillId="14" borderId="33" xfId="1" applyFont="1" applyFill="1" applyBorder="1" applyAlignment="1">
      <alignment vertical="center"/>
    </xf>
    <xf numFmtId="0" fontId="15" fillId="14" borderId="2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5" fillId="14" borderId="7" xfId="1" applyFont="1" applyFill="1" applyBorder="1" applyAlignment="1">
      <alignment vertical="center"/>
    </xf>
    <xf numFmtId="165" fontId="15" fillId="14" borderId="20" xfId="1" applyNumberFormat="1" applyFont="1" applyFill="1" applyBorder="1" applyAlignment="1">
      <alignment vertical="center"/>
    </xf>
    <xf numFmtId="165" fontId="15" fillId="14" borderId="13" xfId="1" applyNumberFormat="1" applyFont="1" applyFill="1" applyBorder="1" applyAlignment="1">
      <alignment vertical="center"/>
    </xf>
    <xf numFmtId="0" fontId="15" fillId="14" borderId="15" xfId="1" applyFont="1" applyFill="1" applyBorder="1" applyAlignment="1">
      <alignment vertical="center"/>
    </xf>
    <xf numFmtId="165" fontId="16" fillId="14" borderId="14" xfId="1" applyNumberFormat="1" applyFont="1" applyFill="1" applyBorder="1" applyAlignment="1">
      <alignment horizontal="right" vertical="center"/>
    </xf>
    <xf numFmtId="165" fontId="16" fillId="14" borderId="2" xfId="1" applyNumberFormat="1" applyFont="1" applyFill="1" applyBorder="1" applyAlignment="1">
      <alignment vertical="center"/>
    </xf>
    <xf numFmtId="0" fontId="16" fillId="14" borderId="7" xfId="1" applyFont="1" applyFill="1" applyBorder="1" applyAlignment="1">
      <alignment horizontal="center" vertical="center"/>
    </xf>
    <xf numFmtId="165" fontId="16" fillId="14" borderId="13" xfId="1" applyNumberFormat="1" applyFont="1" applyFill="1" applyBorder="1" applyAlignment="1">
      <alignment horizontal="right" vertical="center"/>
    </xf>
    <xf numFmtId="165" fontId="16" fillId="14" borderId="20" xfId="1" applyNumberFormat="1" applyFont="1" applyFill="1" applyBorder="1" applyAlignment="1">
      <alignment vertical="center"/>
    </xf>
    <xf numFmtId="0" fontId="15" fillId="14" borderId="0" xfId="1" applyFont="1" applyFill="1" applyAlignment="1">
      <alignment vertical="center"/>
    </xf>
    <xf numFmtId="165" fontId="16" fillId="14" borderId="21" xfId="1" applyNumberFormat="1" applyFont="1" applyFill="1" applyBorder="1" applyAlignment="1">
      <alignment vertical="center"/>
    </xf>
    <xf numFmtId="165" fontId="15" fillId="14" borderId="0" xfId="1" applyNumberFormat="1" applyFont="1" applyFill="1" applyBorder="1" applyAlignment="1">
      <alignment vertical="center"/>
    </xf>
    <xf numFmtId="165" fontId="15" fillId="14" borderId="20" xfId="1" applyNumberFormat="1" applyFont="1" applyFill="1" applyBorder="1" applyAlignment="1">
      <alignment horizontal="right" vertical="center"/>
    </xf>
    <xf numFmtId="0" fontId="15" fillId="14" borderId="7" xfId="1" applyFont="1" applyFill="1" applyBorder="1" applyAlignment="1">
      <alignment horizontal="right" vertical="center"/>
    </xf>
    <xf numFmtId="0" fontId="15" fillId="14" borderId="16" xfId="1" applyFont="1" applyFill="1" applyBorder="1" applyAlignment="1">
      <alignment vertical="center"/>
    </xf>
    <xf numFmtId="0" fontId="15" fillId="14" borderId="17" xfId="1" applyFont="1" applyFill="1" applyBorder="1" applyAlignment="1">
      <alignment vertical="center"/>
    </xf>
    <xf numFmtId="0" fontId="15" fillId="14" borderId="17" xfId="1" applyFont="1" applyFill="1" applyBorder="1" applyAlignment="1">
      <alignment horizontal="right" vertical="center"/>
    </xf>
    <xf numFmtId="0" fontId="15" fillId="14" borderId="0" xfId="1" applyFont="1" applyFill="1" applyBorder="1" applyAlignment="1">
      <alignment vertical="center"/>
    </xf>
    <xf numFmtId="0" fontId="15" fillId="14" borderId="0" xfId="1" applyFont="1" applyFill="1" applyBorder="1" applyAlignment="1">
      <alignment horizontal="right" vertical="center"/>
    </xf>
    <xf numFmtId="165" fontId="16" fillId="14" borderId="1" xfId="1" applyNumberFormat="1" applyFont="1" applyFill="1" applyBorder="1" applyAlignment="1">
      <alignment horizontal="right" vertical="center"/>
    </xf>
    <xf numFmtId="0" fontId="15" fillId="14" borderId="7" xfId="1" applyFont="1" applyFill="1" applyBorder="1" applyAlignment="1">
      <alignment horizontal="center" vertical="center"/>
    </xf>
    <xf numFmtId="0" fontId="41" fillId="14" borderId="31" xfId="1" applyFont="1" applyFill="1" applyBorder="1" applyAlignment="1">
      <alignment horizontal="right"/>
    </xf>
    <xf numFmtId="165" fontId="16" fillId="14" borderId="19" xfId="1" applyNumberFormat="1" applyFont="1" applyFill="1" applyBorder="1" applyAlignment="1">
      <alignment horizontal="center" vertical="center"/>
    </xf>
    <xf numFmtId="165" fontId="15" fillId="14" borderId="13" xfId="1" applyNumberFormat="1" applyFont="1" applyFill="1" applyBorder="1" applyAlignment="1">
      <alignment horizontal="center" vertical="center"/>
    </xf>
    <xf numFmtId="165" fontId="15" fillId="14" borderId="20" xfId="1" applyNumberFormat="1" applyFont="1" applyFill="1" applyBorder="1" applyAlignment="1">
      <alignment horizontal="center" vertical="center"/>
    </xf>
    <xf numFmtId="0" fontId="15" fillId="14" borderId="20" xfId="1" applyFont="1" applyFill="1" applyBorder="1" applyAlignment="1">
      <alignment vertical="center"/>
    </xf>
    <xf numFmtId="165" fontId="16" fillId="14" borderId="1" xfId="1" applyNumberFormat="1" applyFont="1" applyFill="1" applyBorder="1" applyAlignment="1">
      <alignment vertical="center"/>
    </xf>
    <xf numFmtId="165" fontId="15" fillId="14" borderId="18" xfId="1" applyNumberFormat="1" applyFont="1" applyFill="1" applyBorder="1" applyAlignment="1">
      <alignment vertical="center"/>
    </xf>
    <xf numFmtId="165" fontId="15" fillId="14" borderId="19" xfId="1" applyNumberFormat="1" applyFont="1" applyFill="1" applyBorder="1" applyAlignment="1">
      <alignment vertical="center"/>
    </xf>
    <xf numFmtId="0" fontId="15" fillId="14" borderId="16" xfId="1" applyFont="1" applyFill="1" applyBorder="1" applyAlignment="1">
      <alignment horizontal="left" vertical="top" wrapText="1"/>
    </xf>
    <xf numFmtId="0" fontId="4" fillId="14" borderId="0" xfId="1" applyFont="1" applyFill="1" applyBorder="1" applyAlignment="1">
      <alignment horizontal="right" vertical="center"/>
    </xf>
    <xf numFmtId="165" fontId="15" fillId="14" borderId="0" xfId="1" applyNumberFormat="1" applyFont="1" applyFill="1" applyBorder="1" applyAlignment="1">
      <alignment horizontal="center" vertical="center"/>
    </xf>
    <xf numFmtId="0" fontId="16" fillId="14" borderId="7" xfId="1" applyFont="1" applyFill="1" applyBorder="1" applyAlignment="1">
      <alignment vertical="center"/>
    </xf>
    <xf numFmtId="0" fontId="16" fillId="14" borderId="0" xfId="1" applyFont="1" applyFill="1" applyBorder="1" applyAlignment="1">
      <alignment vertical="center"/>
    </xf>
    <xf numFmtId="0" fontId="16" fillId="14" borderId="0" xfId="1" applyFont="1" applyFill="1" applyBorder="1" applyAlignment="1">
      <alignment horizontal="right" vertical="center"/>
    </xf>
    <xf numFmtId="0" fontId="15" fillId="14" borderId="0" xfId="1" applyFont="1" applyFill="1" applyBorder="1" applyAlignment="1">
      <alignment horizontal="center" vertical="center"/>
    </xf>
    <xf numFmtId="0" fontId="15" fillId="14" borderId="47" xfId="1" applyFont="1" applyFill="1" applyBorder="1" applyAlignment="1">
      <alignment horizontal="center" vertical="center" wrapText="1"/>
    </xf>
    <xf numFmtId="0" fontId="15" fillId="14" borderId="46" xfId="1" applyFont="1" applyFill="1" applyBorder="1" applyAlignment="1">
      <alignment horizontal="center" vertical="center"/>
    </xf>
    <xf numFmtId="17" fontId="15" fillId="14" borderId="20" xfId="1" applyNumberFormat="1" applyFont="1" applyFill="1" applyBorder="1" applyAlignment="1">
      <alignment horizontal="center" vertical="center"/>
    </xf>
    <xf numFmtId="0" fontId="15" fillId="14" borderId="61" xfId="1" applyFont="1" applyFill="1" applyBorder="1" applyAlignment="1">
      <alignment horizontal="center" vertical="center"/>
    </xf>
    <xf numFmtId="0" fontId="15" fillId="14" borderId="13" xfId="1" applyFont="1" applyFill="1" applyBorder="1" applyAlignment="1">
      <alignment vertical="center"/>
    </xf>
    <xf numFmtId="0" fontId="15" fillId="14" borderId="0" xfId="1" applyFont="1" applyFill="1" applyBorder="1" applyAlignment="1">
      <alignment horizontal="centerContinuous" vertical="center"/>
    </xf>
    <xf numFmtId="0" fontId="16" fillId="10" borderId="59" xfId="1" applyFont="1" applyFill="1" applyBorder="1" applyAlignment="1">
      <alignment horizontal="center" vertical="center"/>
    </xf>
    <xf numFmtId="0" fontId="16" fillId="10" borderId="15" xfId="1" applyFont="1" applyFill="1" applyBorder="1" applyAlignment="1">
      <alignment horizontal="center" vertical="center"/>
    </xf>
    <xf numFmtId="0" fontId="16" fillId="10" borderId="12" xfId="1" applyFont="1" applyFill="1" applyBorder="1" applyAlignment="1">
      <alignment horizontal="center" vertical="center"/>
    </xf>
    <xf numFmtId="0" fontId="16" fillId="10" borderId="14" xfId="1" applyFont="1" applyFill="1" applyBorder="1" applyAlignment="1">
      <alignment horizontal="center" vertical="center"/>
    </xf>
    <xf numFmtId="0" fontId="16" fillId="10" borderId="16" xfId="1" applyFont="1" applyFill="1" applyBorder="1" applyAlignment="1">
      <alignment horizontal="center" vertical="center"/>
    </xf>
    <xf numFmtId="0" fontId="15" fillId="10" borderId="19" xfId="1" applyFont="1" applyFill="1" applyBorder="1" applyAlignment="1">
      <alignment vertical="center"/>
    </xf>
    <xf numFmtId="0" fontId="15" fillId="10" borderId="7" xfId="1" applyFont="1" applyFill="1" applyBorder="1" applyAlignment="1">
      <alignment vertical="center"/>
    </xf>
    <xf numFmtId="165" fontId="15" fillId="10" borderId="20" xfId="1" applyNumberFormat="1" applyFont="1" applyFill="1" applyBorder="1" applyAlignment="1">
      <alignment vertical="center"/>
    </xf>
    <xf numFmtId="165" fontId="15" fillId="10" borderId="13" xfId="1" applyNumberFormat="1" applyFont="1" applyFill="1" applyBorder="1" applyAlignment="1">
      <alignment vertical="center"/>
    </xf>
    <xf numFmtId="0" fontId="15" fillId="10" borderId="15" xfId="1" applyFont="1" applyFill="1" applyBorder="1" applyAlignment="1">
      <alignment vertical="center"/>
    </xf>
    <xf numFmtId="165" fontId="16" fillId="10" borderId="2" xfId="1" applyNumberFormat="1" applyFont="1" applyFill="1" applyBorder="1" applyAlignment="1">
      <alignment vertical="center"/>
    </xf>
    <xf numFmtId="0" fontId="16" fillId="10" borderId="7" xfId="1" applyFont="1" applyFill="1" applyBorder="1" applyAlignment="1">
      <alignment horizontal="center" vertical="center"/>
    </xf>
    <xf numFmtId="165" fontId="16" fillId="10" borderId="13" xfId="1" applyNumberFormat="1" applyFont="1" applyFill="1" applyBorder="1" applyAlignment="1">
      <alignment horizontal="right" vertical="center"/>
    </xf>
    <xf numFmtId="165" fontId="16" fillId="10" borderId="20" xfId="1" applyNumberFormat="1" applyFont="1" applyFill="1" applyBorder="1" applyAlignment="1">
      <alignment vertical="center"/>
    </xf>
    <xf numFmtId="0" fontId="15" fillId="10" borderId="0" xfId="1" applyFont="1" applyFill="1" applyAlignment="1">
      <alignment vertical="center"/>
    </xf>
    <xf numFmtId="165" fontId="16" fillId="10" borderId="21" xfId="1" applyNumberFormat="1" applyFont="1" applyFill="1" applyBorder="1" applyAlignment="1">
      <alignment vertical="center"/>
    </xf>
    <xf numFmtId="165" fontId="15" fillId="10" borderId="0" xfId="1" applyNumberFormat="1" applyFont="1" applyFill="1" applyBorder="1" applyAlignment="1">
      <alignment vertical="center"/>
    </xf>
    <xf numFmtId="165" fontId="15" fillId="10" borderId="20" xfId="1" applyNumberFormat="1" applyFont="1" applyFill="1" applyBorder="1" applyAlignment="1">
      <alignment horizontal="right" vertical="center"/>
    </xf>
    <xf numFmtId="0" fontId="15" fillId="10" borderId="7" xfId="1" applyFont="1" applyFill="1" applyBorder="1" applyAlignment="1">
      <alignment horizontal="right" vertical="center"/>
    </xf>
    <xf numFmtId="0" fontId="15" fillId="10" borderId="0" xfId="1" applyFont="1" applyFill="1" applyBorder="1" applyAlignment="1">
      <alignment vertical="center"/>
    </xf>
    <xf numFmtId="0" fontId="15" fillId="10" borderId="0" xfId="1" applyFont="1" applyFill="1" applyBorder="1" applyAlignment="1">
      <alignment horizontal="right" vertical="center"/>
    </xf>
    <xf numFmtId="165" fontId="16" fillId="10" borderId="19" xfId="1" applyNumberFormat="1" applyFont="1" applyFill="1" applyBorder="1" applyAlignment="1">
      <alignment horizontal="right" vertical="center"/>
    </xf>
    <xf numFmtId="165" fontId="16" fillId="10" borderId="19" xfId="1" applyNumberFormat="1" applyFont="1" applyFill="1" applyBorder="1" applyAlignment="1">
      <alignment vertical="center"/>
    </xf>
    <xf numFmtId="0" fontId="15" fillId="10" borderId="7" xfId="1" applyFont="1" applyFill="1" applyBorder="1" applyAlignment="1">
      <alignment horizontal="center" vertical="center"/>
    </xf>
    <xf numFmtId="165" fontId="16" fillId="10" borderId="14" xfId="1" applyNumberFormat="1" applyFont="1" applyFill="1" applyBorder="1" applyAlignment="1">
      <alignment vertical="center"/>
    </xf>
    <xf numFmtId="165" fontId="15" fillId="10" borderId="1" xfId="1" applyNumberFormat="1" applyFont="1" applyFill="1" applyBorder="1" applyAlignment="1">
      <alignment vertical="center"/>
    </xf>
    <xf numFmtId="165" fontId="15" fillId="10" borderId="13" xfId="1" applyNumberFormat="1" applyFont="1" applyFill="1" applyBorder="1" applyAlignment="1">
      <alignment horizontal="center" vertical="center"/>
    </xf>
    <xf numFmtId="165" fontId="15" fillId="10" borderId="20" xfId="1" applyNumberFormat="1" applyFont="1" applyFill="1" applyBorder="1" applyAlignment="1">
      <alignment horizontal="center" vertical="center"/>
    </xf>
    <xf numFmtId="0" fontId="15" fillId="10" borderId="20" xfId="1" applyFont="1" applyFill="1" applyBorder="1" applyAlignment="1">
      <alignment vertical="center"/>
    </xf>
    <xf numFmtId="0" fontId="15" fillId="10" borderId="21" xfId="1" applyFont="1" applyFill="1" applyBorder="1" applyAlignment="1">
      <alignment vertical="center"/>
    </xf>
    <xf numFmtId="165" fontId="15" fillId="10" borderId="2" xfId="1" applyNumberFormat="1" applyFont="1" applyFill="1" applyBorder="1" applyAlignment="1">
      <alignment vertical="center"/>
    </xf>
    <xf numFmtId="165" fontId="15" fillId="10" borderId="18" xfId="1" applyNumberFormat="1" applyFont="1" applyFill="1" applyBorder="1" applyAlignment="1">
      <alignment vertical="center"/>
    </xf>
    <xf numFmtId="165" fontId="15" fillId="10" borderId="19" xfId="1" applyNumberFormat="1" applyFont="1" applyFill="1" applyBorder="1" applyAlignment="1">
      <alignment vertical="center"/>
    </xf>
    <xf numFmtId="0" fontId="16" fillId="10" borderId="7" xfId="1" applyFont="1" applyFill="1" applyBorder="1" applyAlignment="1">
      <alignment vertical="center"/>
    </xf>
    <xf numFmtId="0" fontId="15" fillId="10" borderId="12" xfId="1" applyFont="1" applyFill="1" applyBorder="1" applyAlignment="1">
      <alignment vertical="center"/>
    </xf>
    <xf numFmtId="165" fontId="15" fillId="10" borderId="7" xfId="1" applyNumberFormat="1" applyFont="1" applyFill="1" applyBorder="1" applyAlignment="1">
      <alignment horizontal="center" vertical="center"/>
    </xf>
    <xf numFmtId="0" fontId="16" fillId="10" borderId="21" xfId="1" applyFont="1" applyFill="1" applyBorder="1" applyAlignment="1">
      <alignment horizontal="center" vertical="center"/>
    </xf>
    <xf numFmtId="0" fontId="15" fillId="10" borderId="0" xfId="1" applyFont="1" applyFill="1" applyBorder="1" applyAlignment="1">
      <alignment horizontal="left" vertical="center"/>
    </xf>
    <xf numFmtId="0" fontId="15" fillId="10" borderId="0" xfId="1" applyFont="1" applyFill="1" applyBorder="1" applyAlignment="1">
      <alignment horizontal="center" vertical="center"/>
    </xf>
    <xf numFmtId="0" fontId="15" fillId="10" borderId="13" xfId="1" applyFont="1" applyFill="1" applyBorder="1" applyAlignment="1">
      <alignment horizontal="center" vertical="center"/>
    </xf>
    <xf numFmtId="0" fontId="15" fillId="10" borderId="46" xfId="1" applyFont="1" applyFill="1" applyBorder="1" applyAlignment="1">
      <alignment horizontal="center" vertical="center"/>
    </xf>
    <xf numFmtId="17" fontId="15" fillId="10" borderId="20" xfId="1" applyNumberFormat="1" applyFont="1" applyFill="1" applyBorder="1" applyAlignment="1">
      <alignment horizontal="center" vertical="center"/>
    </xf>
    <xf numFmtId="0" fontId="15" fillId="10" borderId="46" xfId="1" applyFont="1" applyFill="1" applyBorder="1" applyAlignment="1">
      <alignment horizontal="center" vertical="top"/>
    </xf>
    <xf numFmtId="2" fontId="15" fillId="10" borderId="2" xfId="1" applyNumberFormat="1" applyFont="1" applyFill="1" applyBorder="1" applyAlignment="1">
      <alignment horizontal="left" vertical="center"/>
    </xf>
    <xf numFmtId="0" fontId="16" fillId="10" borderId="5" xfId="1" applyFont="1" applyFill="1" applyBorder="1" applyAlignment="1">
      <alignment vertical="center"/>
    </xf>
    <xf numFmtId="0" fontId="30" fillId="10" borderId="16" xfId="1" applyFont="1" applyFill="1" applyBorder="1" applyAlignment="1"/>
    <xf numFmtId="0" fontId="30" fillId="10" borderId="17" xfId="1" applyFont="1" applyFill="1" applyBorder="1" applyAlignment="1">
      <alignment horizontal="left" vertical="top" wrapText="1"/>
    </xf>
    <xf numFmtId="0" fontId="30" fillId="10" borderId="18" xfId="1" applyFont="1" applyFill="1" applyBorder="1" applyAlignment="1">
      <alignment horizontal="left" vertical="top" wrapText="1"/>
    </xf>
    <xf numFmtId="0" fontId="15" fillId="10" borderId="0" xfId="1" applyFont="1" applyFill="1" applyBorder="1" applyAlignment="1"/>
    <xf numFmtId="0" fontId="15" fillId="10" borderId="0" xfId="1" applyFont="1" applyFill="1" applyAlignment="1">
      <alignment horizontal="left"/>
    </xf>
    <xf numFmtId="0" fontId="15" fillId="10" borderId="0" xfId="1" applyFont="1" applyFill="1" applyBorder="1" applyAlignment="1">
      <alignment horizontal="left"/>
    </xf>
    <xf numFmtId="0" fontId="15" fillId="10" borderId="13" xfId="1" applyFont="1" applyFill="1" applyBorder="1" applyAlignment="1">
      <alignment vertical="center"/>
    </xf>
    <xf numFmtId="0" fontId="15" fillId="10" borderId="0" xfId="1" applyFont="1" applyFill="1" applyBorder="1" applyAlignment="1">
      <alignment horizontal="centerContinuous" vertical="center"/>
    </xf>
    <xf numFmtId="0" fontId="15" fillId="10" borderId="12" xfId="1" applyFont="1" applyFill="1" applyBorder="1" applyAlignment="1">
      <alignment horizontal="centerContinuous" vertical="center"/>
    </xf>
    <xf numFmtId="0" fontId="15" fillId="10" borderId="12" xfId="1" applyFont="1" applyFill="1" applyBorder="1" applyAlignment="1">
      <alignment horizontal="center" vertical="center"/>
    </xf>
    <xf numFmtId="0" fontId="15" fillId="10" borderId="14" xfId="1" applyFont="1" applyFill="1" applyBorder="1" applyAlignment="1">
      <alignment vertical="center"/>
    </xf>
    <xf numFmtId="2" fontId="15" fillId="14" borderId="0" xfId="1" applyNumberFormat="1" applyFont="1" applyFill="1" applyBorder="1" applyAlignment="1">
      <alignment vertical="center"/>
    </xf>
    <xf numFmtId="0" fontId="17" fillId="14" borderId="0" xfId="1" applyFont="1" applyFill="1" applyAlignment="1">
      <alignment vertical="center"/>
    </xf>
    <xf numFmtId="0" fontId="11" fillId="14" borderId="0" xfId="1" applyFont="1" applyFill="1" applyAlignment="1">
      <alignment vertical="center"/>
    </xf>
    <xf numFmtId="0" fontId="18" fillId="14" borderId="0" xfId="1" applyFont="1" applyFill="1" applyAlignment="1">
      <alignment vertical="center"/>
    </xf>
    <xf numFmtId="165" fontId="42" fillId="10" borderId="30" xfId="1" applyNumberFormat="1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15" fillId="13" borderId="71" xfId="0" applyFont="1" applyFill="1" applyBorder="1" applyAlignment="1">
      <alignment horizontal="center" vertical="center"/>
    </xf>
    <xf numFmtId="0" fontId="15" fillId="13" borderId="72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3" borderId="73" xfId="0" applyFont="1" applyFill="1" applyBorder="1" applyAlignment="1">
      <alignment horizontal="center" vertical="center"/>
    </xf>
    <xf numFmtId="17" fontId="15" fillId="13" borderId="74" xfId="0" applyNumberFormat="1" applyFont="1" applyFill="1" applyBorder="1" applyAlignment="1">
      <alignment vertical="center"/>
    </xf>
    <xf numFmtId="0" fontId="15" fillId="13" borderId="74" xfId="0" applyFont="1" applyFill="1" applyBorder="1" applyAlignment="1">
      <alignment vertical="center"/>
    </xf>
    <xf numFmtId="0" fontId="15" fillId="13" borderId="75" xfId="0" applyFont="1" applyFill="1" applyBorder="1" applyAlignment="1">
      <alignment vertical="center"/>
    </xf>
    <xf numFmtId="0" fontId="15" fillId="13" borderId="8" xfId="0" applyFont="1" applyFill="1" applyBorder="1" applyAlignment="1">
      <alignment vertical="center"/>
    </xf>
    <xf numFmtId="0" fontId="15" fillId="13" borderId="76" xfId="0" applyFont="1" applyFill="1" applyBorder="1" applyAlignment="1">
      <alignment vertical="center"/>
    </xf>
    <xf numFmtId="0" fontId="15" fillId="13" borderId="77" xfId="0" applyFont="1" applyFill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15" fillId="13" borderId="78" xfId="0" applyFont="1" applyFill="1" applyBorder="1" applyAlignment="1">
      <alignment horizontal="center" vertical="center"/>
    </xf>
    <xf numFmtId="17" fontId="15" fillId="13" borderId="79" xfId="0" applyNumberFormat="1" applyFont="1" applyFill="1" applyBorder="1" applyAlignment="1">
      <alignment vertical="center"/>
    </xf>
    <xf numFmtId="0" fontId="15" fillId="13" borderId="79" xfId="0" applyFont="1" applyFill="1" applyBorder="1" applyAlignment="1">
      <alignment vertical="center"/>
    </xf>
    <xf numFmtId="0" fontId="15" fillId="13" borderId="80" xfId="0" applyFont="1" applyFill="1" applyBorder="1" applyAlignment="1">
      <alignment vertical="center"/>
    </xf>
    <xf numFmtId="0" fontId="15" fillId="13" borderId="9" xfId="0" applyFont="1" applyFill="1" applyBorder="1" applyAlignment="1">
      <alignment vertical="center"/>
    </xf>
    <xf numFmtId="0" fontId="15" fillId="13" borderId="81" xfId="0" applyFont="1" applyFill="1" applyBorder="1" applyAlignment="1">
      <alignment vertical="center"/>
    </xf>
    <xf numFmtId="0" fontId="15" fillId="13" borderId="82" xfId="0" applyFont="1" applyFill="1" applyBorder="1" applyAlignment="1">
      <alignment vertical="center"/>
    </xf>
    <xf numFmtId="0" fontId="15" fillId="13" borderId="83" xfId="0" applyFont="1" applyFill="1" applyBorder="1" applyAlignment="1">
      <alignment horizontal="center" vertical="center"/>
    </xf>
    <xf numFmtId="0" fontId="15" fillId="13" borderId="84" xfId="0" applyFont="1" applyFill="1" applyBorder="1" applyAlignment="1">
      <alignment vertical="center"/>
    </xf>
    <xf numFmtId="0" fontId="15" fillId="13" borderId="85" xfId="0" applyFont="1" applyFill="1" applyBorder="1" applyAlignment="1">
      <alignment vertical="center"/>
    </xf>
    <xf numFmtId="0" fontId="15" fillId="13" borderId="10" xfId="0" applyFont="1" applyFill="1" applyBorder="1" applyAlignment="1">
      <alignment vertical="center"/>
    </xf>
    <xf numFmtId="0" fontId="15" fillId="13" borderId="72" xfId="0" applyFont="1" applyFill="1" applyBorder="1" applyAlignment="1">
      <alignment vertical="center"/>
    </xf>
    <xf numFmtId="0" fontId="15" fillId="13" borderId="86" xfId="0" applyFont="1" applyFill="1" applyBorder="1" applyAlignment="1">
      <alignment vertical="center"/>
    </xf>
    <xf numFmtId="0" fontId="15" fillId="13" borderId="6" xfId="0" applyFont="1" applyFill="1" applyBorder="1" applyAlignment="1">
      <alignment vertical="center"/>
    </xf>
    <xf numFmtId="0" fontId="15" fillId="13" borderId="87" xfId="0" applyFont="1" applyFill="1" applyBorder="1" applyAlignment="1">
      <alignment vertical="center"/>
    </xf>
    <xf numFmtId="0" fontId="15" fillId="13" borderId="11" xfId="0" applyFont="1" applyFill="1" applyBorder="1" applyAlignment="1">
      <alignment vertical="center"/>
    </xf>
    <xf numFmtId="0" fontId="15" fillId="13" borderId="12" xfId="0" applyFont="1" applyFill="1" applyBorder="1" applyAlignment="1">
      <alignment horizontal="center" vertical="center"/>
    </xf>
    <xf numFmtId="2" fontId="15" fillId="13" borderId="12" xfId="0" applyNumberFormat="1" applyFont="1" applyFill="1" applyBorder="1" applyAlignment="1">
      <alignment horizontal="center" vertical="center"/>
    </xf>
    <xf numFmtId="0" fontId="15" fillId="13" borderId="0" xfId="0" applyFont="1" applyFill="1" applyAlignment="1">
      <alignment horizontal="left" vertical="center"/>
    </xf>
    <xf numFmtId="2" fontId="16" fillId="13" borderId="0" xfId="0" applyNumberFormat="1" applyFont="1" applyFill="1" applyAlignment="1">
      <alignment vertical="center"/>
    </xf>
    <xf numFmtId="0" fontId="20" fillId="10" borderId="47" xfId="1" applyFont="1" applyFill="1" applyBorder="1" applyAlignment="1">
      <alignment horizontal="center" vertical="center"/>
    </xf>
    <xf numFmtId="0" fontId="20" fillId="10" borderId="50" xfId="1" quotePrefix="1" applyFont="1" applyFill="1" applyBorder="1" applyAlignment="1">
      <alignment vertical="center"/>
    </xf>
    <xf numFmtId="0" fontId="20" fillId="10" borderId="8" xfId="1" applyFont="1" applyFill="1" applyBorder="1" applyAlignment="1">
      <alignment vertical="center"/>
    </xf>
    <xf numFmtId="0" fontId="32" fillId="10" borderId="8" xfId="1" applyFont="1" applyFill="1" applyBorder="1" applyAlignment="1">
      <alignment vertical="center"/>
    </xf>
    <xf numFmtId="0" fontId="20" fillId="10" borderId="22" xfId="1" applyFont="1" applyFill="1" applyBorder="1" applyAlignment="1">
      <alignment vertical="center"/>
    </xf>
    <xf numFmtId="0" fontId="20" fillId="13" borderId="46" xfId="1" applyFont="1" applyFill="1" applyBorder="1" applyAlignment="1">
      <alignment horizontal="center" vertical="center"/>
    </xf>
    <xf numFmtId="0" fontId="20" fillId="13" borderId="51" xfId="1" applyFont="1" applyFill="1" applyBorder="1" applyAlignment="1">
      <alignment vertical="center"/>
    </xf>
    <xf numFmtId="0" fontId="32" fillId="13" borderId="9" xfId="1" applyFont="1" applyFill="1" applyBorder="1" applyAlignment="1">
      <alignment vertical="center"/>
    </xf>
    <xf numFmtId="0" fontId="44" fillId="13" borderId="9" xfId="1" applyFont="1" applyFill="1" applyBorder="1" applyAlignment="1">
      <alignment vertical="center"/>
    </xf>
    <xf numFmtId="0" fontId="20" fillId="13" borderId="9" xfId="1" applyFont="1" applyFill="1" applyBorder="1" applyAlignment="1">
      <alignment vertical="center"/>
    </xf>
    <xf numFmtId="1" fontId="20" fillId="13" borderId="23" xfId="1" applyNumberFormat="1" applyFont="1" applyFill="1" applyBorder="1" applyAlignment="1">
      <alignment vertical="center"/>
    </xf>
    <xf numFmtId="0" fontId="20" fillId="10" borderId="46" xfId="1" applyFont="1" applyFill="1" applyBorder="1" applyAlignment="1">
      <alignment horizontal="center" vertical="center"/>
    </xf>
    <xf numFmtId="0" fontId="20" fillId="10" borderId="51" xfId="1" applyFont="1" applyFill="1" applyBorder="1" applyAlignment="1">
      <alignment vertical="center"/>
    </xf>
    <xf numFmtId="0" fontId="20" fillId="10" borderId="9" xfId="1" applyFont="1" applyFill="1" applyBorder="1" applyAlignment="1">
      <alignment vertical="center"/>
    </xf>
    <xf numFmtId="0" fontId="44" fillId="10" borderId="9" xfId="1" applyFont="1" applyFill="1" applyBorder="1" applyAlignment="1">
      <alignment vertical="center"/>
    </xf>
    <xf numFmtId="0" fontId="32" fillId="10" borderId="9" xfId="1" applyFont="1" applyFill="1" applyBorder="1" applyAlignment="1">
      <alignment vertical="center"/>
    </xf>
    <xf numFmtId="1" fontId="32" fillId="10" borderId="23" xfId="1" applyNumberFormat="1" applyFont="1" applyFill="1" applyBorder="1" applyAlignment="1">
      <alignment vertical="center"/>
    </xf>
    <xf numFmtId="0" fontId="32" fillId="13" borderId="51" xfId="1" applyFont="1" applyFill="1" applyBorder="1" applyAlignment="1">
      <alignment vertical="center"/>
    </xf>
    <xf numFmtId="0" fontId="32" fillId="10" borderId="51" xfId="1" applyFont="1" applyFill="1" applyBorder="1" applyAlignment="1">
      <alignment vertical="center"/>
    </xf>
    <xf numFmtId="0" fontId="20" fillId="13" borderId="51" xfId="1" quotePrefix="1" applyFont="1" applyFill="1" applyBorder="1" applyAlignment="1">
      <alignment vertical="center"/>
    </xf>
    <xf numFmtId="0" fontId="20" fillId="13" borderId="23" xfId="1" applyFont="1" applyFill="1" applyBorder="1" applyAlignment="1">
      <alignment vertical="center"/>
    </xf>
    <xf numFmtId="0" fontId="32" fillId="10" borderId="9" xfId="1" quotePrefix="1" applyFont="1" applyFill="1" applyBorder="1" applyAlignment="1">
      <alignment horizontal="left" vertical="center"/>
    </xf>
    <xf numFmtId="0" fontId="32" fillId="10" borderId="23" xfId="1" applyFont="1" applyFill="1" applyBorder="1" applyAlignment="1">
      <alignment vertical="center"/>
    </xf>
    <xf numFmtId="0" fontId="45" fillId="13" borderId="9" xfId="1" applyFont="1" applyFill="1" applyBorder="1" applyAlignment="1">
      <alignment vertical="center"/>
    </xf>
    <xf numFmtId="0" fontId="46" fillId="13" borderId="9" xfId="1" applyFont="1" applyFill="1" applyBorder="1" applyAlignment="1">
      <alignment vertical="center"/>
    </xf>
    <xf numFmtId="0" fontId="20" fillId="10" borderId="48" xfId="1" applyFont="1" applyFill="1" applyBorder="1" applyAlignment="1">
      <alignment horizontal="center" vertical="center"/>
    </xf>
    <xf numFmtId="0" fontId="32" fillId="10" borderId="52" xfId="1" quotePrefix="1" applyFont="1" applyFill="1" applyBorder="1" applyAlignment="1">
      <alignment vertical="center"/>
    </xf>
    <xf numFmtId="0" fontId="32" fillId="10" borderId="10" xfId="1" applyFont="1" applyFill="1" applyBorder="1" applyAlignment="1">
      <alignment vertical="center"/>
    </xf>
    <xf numFmtId="0" fontId="32" fillId="10" borderId="12" xfId="1" applyFont="1" applyFill="1" applyBorder="1" applyAlignment="1">
      <alignment vertical="center"/>
    </xf>
    <xf numFmtId="1" fontId="20" fillId="10" borderId="24" xfId="1" applyNumberFormat="1" applyFont="1" applyFill="1" applyBorder="1" applyAlignment="1">
      <alignment vertical="center"/>
    </xf>
    <xf numFmtId="0" fontId="48" fillId="12" borderId="2" xfId="0" applyFont="1" applyFill="1" applyBorder="1" applyAlignment="1">
      <alignment horizontal="center" vertical="center"/>
    </xf>
    <xf numFmtId="0" fontId="48" fillId="13" borderId="2" xfId="0" applyFont="1" applyFill="1" applyBorder="1" applyAlignment="1">
      <alignment horizontal="center" vertical="center"/>
    </xf>
    <xf numFmtId="0" fontId="48" fillId="13" borderId="23" xfId="4" applyFont="1" applyFill="1" applyBorder="1" applyAlignment="1">
      <alignment horizontal="center" vertical="center"/>
    </xf>
    <xf numFmtId="0" fontId="48" fillId="13" borderId="46" xfId="4" applyNumberFormat="1" applyFont="1" applyFill="1" applyBorder="1" applyAlignment="1">
      <alignment horizontal="center" vertical="center"/>
    </xf>
    <xf numFmtId="0" fontId="48" fillId="12" borderId="23" xfId="4" applyFont="1" applyFill="1" applyBorder="1" applyAlignment="1">
      <alignment horizontal="center" vertical="center"/>
    </xf>
    <xf numFmtId="0" fontId="20" fillId="15" borderId="0" xfId="1" applyFont="1" applyFill="1" applyAlignment="1">
      <alignment horizontal="center" vertical="center"/>
    </xf>
    <xf numFmtId="0" fontId="20" fillId="15" borderId="0" xfId="1" applyFont="1" applyFill="1" applyAlignment="1">
      <alignment horizontal="left" vertical="center"/>
    </xf>
    <xf numFmtId="0" fontId="32" fillId="15" borderId="0" xfId="1" applyFont="1" applyFill="1" applyAlignment="1">
      <alignment vertical="center"/>
    </xf>
    <xf numFmtId="0" fontId="20" fillId="15" borderId="0" xfId="1" applyFont="1" applyFill="1" applyAlignment="1">
      <alignment vertical="center"/>
    </xf>
    <xf numFmtId="0" fontId="32" fillId="15" borderId="0" xfId="1" applyFont="1" applyFill="1" applyAlignment="1">
      <alignment horizontal="right" vertical="center"/>
    </xf>
    <xf numFmtId="9" fontId="2" fillId="0" borderId="0" xfId="1" applyNumberFormat="1" applyFont="1" applyAlignment="1">
      <alignment vertical="center"/>
    </xf>
    <xf numFmtId="0" fontId="15" fillId="14" borderId="0" xfId="1" applyFont="1" applyFill="1" applyBorder="1" applyAlignment="1">
      <alignment horizontal="left" vertical="top" wrapText="1"/>
    </xf>
    <xf numFmtId="0" fontId="15" fillId="10" borderId="5" xfId="1" applyFont="1" applyFill="1" applyBorder="1" applyAlignment="1">
      <alignment horizontal="left" vertical="top" wrapText="1"/>
    </xf>
    <xf numFmtId="0" fontId="4" fillId="10" borderId="6" xfId="1" applyFont="1" applyFill="1" applyBorder="1" applyAlignment="1">
      <alignment horizontal="right" vertical="center"/>
    </xf>
    <xf numFmtId="165" fontId="15" fillId="10" borderId="6" xfId="1" applyNumberFormat="1" applyFont="1" applyFill="1" applyBorder="1" applyAlignment="1">
      <alignment horizontal="center" vertical="center"/>
    </xf>
    <xf numFmtId="165" fontId="15" fillId="10" borderId="1" xfId="1" applyNumberFormat="1" applyFont="1" applyFill="1" applyBorder="1" applyAlignment="1">
      <alignment horizontal="center" vertical="center"/>
    </xf>
    <xf numFmtId="0" fontId="15" fillId="10" borderId="6" xfId="1" applyFont="1" applyFill="1" applyBorder="1" applyAlignment="1">
      <alignment horizontal="left" vertical="top" wrapText="1"/>
    </xf>
    <xf numFmtId="14" fontId="3" fillId="0" borderId="0" xfId="1" applyNumberFormat="1" applyFont="1" applyAlignment="1">
      <alignment horizontal="left" vertical="center"/>
    </xf>
    <xf numFmtId="0" fontId="4" fillId="8" borderId="0" xfId="1" applyFont="1" applyFill="1" applyAlignment="1">
      <alignment horizontal="center" vertical="center"/>
    </xf>
    <xf numFmtId="0" fontId="4" fillId="12" borderId="0" xfId="1" applyFont="1" applyFill="1" applyAlignment="1">
      <alignment horizontal="center" vertical="center"/>
    </xf>
    <xf numFmtId="0" fontId="20" fillId="12" borderId="0" xfId="1" applyFont="1" applyFill="1" applyAlignment="1">
      <alignment horizontal="center" vertical="center"/>
    </xf>
    <xf numFmtId="0" fontId="4" fillId="9" borderId="0" xfId="1" applyFont="1" applyFill="1" applyAlignment="1">
      <alignment horizontal="center" vertical="center"/>
    </xf>
    <xf numFmtId="165" fontId="43" fillId="10" borderId="47" xfId="1" applyNumberFormat="1" applyFont="1" applyFill="1" applyBorder="1" applyAlignment="1">
      <alignment horizontal="center" vertical="center"/>
    </xf>
    <xf numFmtId="0" fontId="2" fillId="13" borderId="2" xfId="1" applyFont="1" applyFill="1" applyBorder="1" applyAlignment="1">
      <alignment horizontal="left" vertical="center"/>
    </xf>
    <xf numFmtId="0" fontId="2" fillId="10" borderId="2" xfId="1" applyFont="1" applyFill="1" applyBorder="1" applyAlignment="1">
      <alignment horizontal="left" vertical="center"/>
    </xf>
    <xf numFmtId="0" fontId="20" fillId="15" borderId="0" xfId="1" applyFont="1" applyFill="1" applyAlignment="1">
      <alignment horizontal="center" vertical="center"/>
    </xf>
    <xf numFmtId="165" fontId="23" fillId="13" borderId="5" xfId="1" applyNumberFormat="1" applyFont="1" applyFill="1" applyBorder="1" applyAlignment="1">
      <alignment horizontal="center" vertical="center"/>
    </xf>
    <xf numFmtId="165" fontId="23" fillId="13" borderId="1" xfId="1" applyNumberFormat="1" applyFont="1" applyFill="1" applyBorder="1" applyAlignment="1">
      <alignment horizontal="center" vertical="center"/>
    </xf>
    <xf numFmtId="165" fontId="23" fillId="10" borderId="31" xfId="1" applyNumberFormat="1" applyFont="1" applyFill="1" applyBorder="1" applyAlignment="1">
      <alignment horizontal="center" vertical="center"/>
    </xf>
    <xf numFmtId="165" fontId="23" fillId="10" borderId="49" xfId="1" applyNumberFormat="1" applyFont="1" applyFill="1" applyBorder="1" applyAlignment="1">
      <alignment horizontal="center" vertical="center"/>
    </xf>
    <xf numFmtId="165" fontId="43" fillId="13" borderId="46" xfId="1" applyNumberFormat="1" applyFont="1" applyFill="1" applyBorder="1" applyAlignment="1">
      <alignment horizontal="center" vertical="center"/>
    </xf>
    <xf numFmtId="165" fontId="43" fillId="10" borderId="46" xfId="1" applyNumberFormat="1" applyFont="1" applyFill="1" applyBorder="1" applyAlignment="1">
      <alignment horizontal="center" vertical="center"/>
    </xf>
    <xf numFmtId="165" fontId="47" fillId="10" borderId="48" xfId="1" applyNumberFormat="1" applyFont="1" applyFill="1" applyBorder="1" applyAlignment="1">
      <alignment horizontal="center" vertical="center"/>
    </xf>
    <xf numFmtId="165" fontId="47" fillId="13" borderId="46" xfId="1" applyNumberFormat="1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left" vertical="center"/>
    </xf>
    <xf numFmtId="0" fontId="0" fillId="13" borderId="13" xfId="0" applyFill="1" applyBorder="1" applyAlignment="1">
      <alignment horizontal="left" vertical="center"/>
    </xf>
    <xf numFmtId="0" fontId="2" fillId="13" borderId="54" xfId="1" applyFont="1" applyFill="1" applyBorder="1" applyAlignment="1">
      <alignment horizontal="center" vertical="center"/>
    </xf>
    <xf numFmtId="0" fontId="2" fillId="13" borderId="53" xfId="1" applyFont="1" applyFill="1" applyBorder="1" applyAlignment="1">
      <alignment horizontal="center" vertical="center"/>
    </xf>
    <xf numFmtId="0" fontId="2" fillId="10" borderId="7" xfId="1" applyFont="1" applyFill="1" applyBorder="1" applyAlignment="1">
      <alignment horizontal="center" vertical="center"/>
    </xf>
    <xf numFmtId="0" fontId="2" fillId="10" borderId="13" xfId="1" applyFont="1" applyFill="1" applyBorder="1" applyAlignment="1">
      <alignment horizontal="center" vertical="center"/>
    </xf>
    <xf numFmtId="0" fontId="3" fillId="13" borderId="15" xfId="1" applyFont="1" applyFill="1" applyBorder="1" applyAlignment="1">
      <alignment horizontal="center" vertical="center"/>
    </xf>
    <xf numFmtId="0" fontId="3" fillId="13" borderId="12" xfId="1" applyFont="1" applyFill="1" applyBorder="1" applyAlignment="1">
      <alignment horizontal="center" vertical="center"/>
    </xf>
    <xf numFmtId="165" fontId="24" fillId="10" borderId="31" xfId="1" applyNumberFormat="1" applyFont="1" applyFill="1" applyBorder="1" applyAlignment="1">
      <alignment horizontal="left" vertical="center"/>
    </xf>
    <xf numFmtId="165" fontId="24" fillId="10" borderId="55" xfId="1" applyNumberFormat="1" applyFont="1" applyFill="1" applyBorder="1" applyAlignment="1">
      <alignment horizontal="left" vertical="center"/>
    </xf>
    <xf numFmtId="0" fontId="2" fillId="13" borderId="33" xfId="1" applyFont="1" applyFill="1" applyBorder="1" applyAlignment="1">
      <alignment horizontal="left" vertical="center"/>
    </xf>
    <xf numFmtId="0" fontId="3" fillId="10" borderId="26" xfId="1" applyFont="1" applyFill="1" applyBorder="1" applyAlignment="1">
      <alignment horizontal="left" vertical="center"/>
    </xf>
    <xf numFmtId="0" fontId="3" fillId="10" borderId="0" xfId="1" applyFont="1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3" fillId="13" borderId="0" xfId="1" applyFont="1" applyFill="1" applyBorder="1" applyAlignment="1">
      <alignment horizontal="left" vertical="center"/>
    </xf>
    <xf numFmtId="0" fontId="2" fillId="10" borderId="0" xfId="1" applyFont="1" applyFill="1" applyBorder="1" applyAlignment="1">
      <alignment horizontal="left" vertical="center"/>
    </xf>
    <xf numFmtId="0" fontId="2" fillId="13" borderId="7" xfId="1" applyFont="1" applyFill="1" applyBorder="1" applyAlignment="1">
      <alignment horizontal="left" vertical="center"/>
    </xf>
    <xf numFmtId="0" fontId="2" fillId="13" borderId="13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0" fontId="2" fillId="10" borderId="13" xfId="1" applyFont="1" applyFill="1" applyBorder="1" applyAlignment="1">
      <alignment horizontal="left" vertical="center"/>
    </xf>
    <xf numFmtId="0" fontId="26" fillId="13" borderId="7" xfId="1" applyFont="1" applyFill="1" applyBorder="1" applyAlignment="1">
      <alignment horizontal="left" vertical="center"/>
    </xf>
    <xf numFmtId="0" fontId="26" fillId="13" borderId="13" xfId="1" applyFont="1" applyFill="1" applyBorder="1" applyAlignment="1">
      <alignment horizontal="left" vertical="center"/>
    </xf>
    <xf numFmtId="0" fontId="2" fillId="13" borderId="7" xfId="1" applyFont="1" applyFill="1" applyBorder="1" applyAlignment="1">
      <alignment horizontal="left" vertical="center" wrapText="1"/>
    </xf>
    <xf numFmtId="0" fontId="2" fillId="13" borderId="13" xfId="1" applyFont="1" applyFill="1" applyBorder="1" applyAlignment="1">
      <alignment horizontal="left" vertical="center" wrapText="1"/>
    </xf>
    <xf numFmtId="0" fontId="2" fillId="10" borderId="12" xfId="1" applyFont="1" applyFill="1" applyBorder="1" applyAlignment="1">
      <alignment horizontal="left" vertical="center"/>
    </xf>
    <xf numFmtId="0" fontId="2" fillId="10" borderId="14" xfId="1" applyFont="1" applyFill="1" applyBorder="1" applyAlignment="1">
      <alignment horizontal="left" vertical="center"/>
    </xf>
    <xf numFmtId="0" fontId="2" fillId="13" borderId="54" xfId="1" applyFont="1" applyFill="1" applyBorder="1" applyAlignment="1">
      <alignment horizontal="left" vertical="center"/>
    </xf>
    <xf numFmtId="0" fontId="2" fillId="13" borderId="26" xfId="1" applyFont="1" applyFill="1" applyBorder="1" applyAlignment="1">
      <alignment horizontal="left" vertical="center"/>
    </xf>
    <xf numFmtId="0" fontId="2" fillId="13" borderId="53" xfId="1" applyFont="1" applyFill="1" applyBorder="1" applyAlignment="1">
      <alignment horizontal="left" vertical="center"/>
    </xf>
    <xf numFmtId="0" fontId="15" fillId="14" borderId="5" xfId="1" applyFont="1" applyFill="1" applyBorder="1" applyAlignment="1">
      <alignment horizontal="left" vertical="top" wrapText="1"/>
    </xf>
    <xf numFmtId="0" fontId="15" fillId="14" borderId="17" xfId="1" applyFont="1" applyFill="1" applyBorder="1" applyAlignment="1">
      <alignment horizontal="left" vertical="top" wrapText="1"/>
    </xf>
    <xf numFmtId="0" fontId="16" fillId="14" borderId="50" xfId="1" applyFont="1" applyFill="1" applyBorder="1" applyAlignment="1">
      <alignment horizontal="center" vertical="top"/>
    </xf>
    <xf numFmtId="0" fontId="16" fillId="14" borderId="8" xfId="1" applyFont="1" applyFill="1" applyBorder="1" applyAlignment="1">
      <alignment horizontal="center" vertical="top"/>
    </xf>
    <xf numFmtId="0" fontId="16" fillId="14" borderId="22" xfId="1" applyFont="1" applyFill="1" applyBorder="1" applyAlignment="1">
      <alignment horizontal="center" vertical="top"/>
    </xf>
    <xf numFmtId="0" fontId="15" fillId="10" borderId="51" xfId="1" applyFont="1" applyFill="1" applyBorder="1" applyAlignment="1">
      <alignment horizontal="left" vertical="top"/>
    </xf>
    <xf numFmtId="0" fontId="15" fillId="10" borderId="9" xfId="1" applyFont="1" applyFill="1" applyBorder="1" applyAlignment="1">
      <alignment horizontal="left" vertical="top"/>
    </xf>
    <xf numFmtId="0" fontId="15" fillId="10" borderId="23" xfId="1" applyFont="1" applyFill="1" applyBorder="1" applyAlignment="1">
      <alignment horizontal="left" vertical="top"/>
    </xf>
    <xf numFmtId="0" fontId="15" fillId="14" borderId="51" xfId="1" applyFont="1" applyFill="1" applyBorder="1" applyAlignment="1">
      <alignment horizontal="left" vertical="top"/>
    </xf>
    <xf numFmtId="0" fontId="15" fillId="14" borderId="9" xfId="1" applyFont="1" applyFill="1" applyBorder="1" applyAlignment="1">
      <alignment horizontal="left" vertical="top"/>
    </xf>
    <xf numFmtId="0" fontId="15" fillId="14" borderId="23" xfId="1" applyFont="1" applyFill="1" applyBorder="1" applyAlignment="1">
      <alignment horizontal="left" vertical="top"/>
    </xf>
    <xf numFmtId="0" fontId="16" fillId="14" borderId="16" xfId="1" applyFont="1" applyFill="1" applyBorder="1" applyAlignment="1">
      <alignment horizontal="left" vertical="top"/>
    </xf>
    <xf numFmtId="0" fontId="16" fillId="14" borderId="17" xfId="1" applyFont="1" applyFill="1" applyBorder="1" applyAlignment="1">
      <alignment horizontal="left" vertical="top"/>
    </xf>
    <xf numFmtId="0" fontId="16" fillId="14" borderId="18" xfId="1" applyFont="1" applyFill="1" applyBorder="1" applyAlignment="1">
      <alignment horizontal="left" vertical="top"/>
    </xf>
    <xf numFmtId="0" fontId="16" fillId="10" borderId="16" xfId="1" applyFont="1" applyFill="1" applyBorder="1" applyAlignment="1">
      <alignment horizontal="left" vertical="top"/>
    </xf>
    <xf numFmtId="0" fontId="16" fillId="10" borderId="17" xfId="1" applyFont="1" applyFill="1" applyBorder="1" applyAlignment="1">
      <alignment horizontal="left" vertical="top"/>
    </xf>
    <xf numFmtId="0" fontId="16" fillId="10" borderId="18" xfId="1" applyFont="1" applyFill="1" applyBorder="1" applyAlignment="1">
      <alignment horizontal="left" vertical="top"/>
    </xf>
    <xf numFmtId="0" fontId="16" fillId="10" borderId="15" xfId="1" applyFont="1" applyFill="1" applyBorder="1" applyAlignment="1">
      <alignment horizontal="left" vertical="top"/>
    </xf>
    <xf numFmtId="0" fontId="16" fillId="10" borderId="12" xfId="1" applyFont="1" applyFill="1" applyBorder="1" applyAlignment="1">
      <alignment horizontal="left" vertical="top"/>
    </xf>
    <xf numFmtId="0" fontId="16" fillId="10" borderId="14" xfId="1" applyFont="1" applyFill="1" applyBorder="1" applyAlignment="1">
      <alignment horizontal="left" vertical="top"/>
    </xf>
    <xf numFmtId="165" fontId="15" fillId="14" borderId="16" xfId="1" applyNumberFormat="1" applyFont="1" applyFill="1" applyBorder="1" applyAlignment="1">
      <alignment horizontal="center" vertical="center"/>
    </xf>
    <xf numFmtId="165" fontId="15" fillId="14" borderId="18" xfId="1" applyNumberFormat="1" applyFont="1" applyFill="1" applyBorder="1" applyAlignment="1">
      <alignment horizontal="center" vertical="center"/>
    </xf>
    <xf numFmtId="165" fontId="15" fillId="10" borderId="7" xfId="1" applyNumberFormat="1" applyFont="1" applyFill="1" applyBorder="1" applyAlignment="1">
      <alignment horizontal="center" vertical="center"/>
    </xf>
    <xf numFmtId="165" fontId="15" fillId="10" borderId="13" xfId="1" applyNumberFormat="1" applyFont="1" applyFill="1" applyBorder="1" applyAlignment="1">
      <alignment horizontal="center" vertical="center"/>
    </xf>
    <xf numFmtId="0" fontId="15" fillId="10" borderId="52" xfId="1" applyFont="1" applyFill="1" applyBorder="1" applyAlignment="1">
      <alignment horizontal="left" vertical="top"/>
    </xf>
    <xf numFmtId="0" fontId="15" fillId="10" borderId="10" xfId="1" applyFont="1" applyFill="1" applyBorder="1" applyAlignment="1">
      <alignment horizontal="left" vertical="top"/>
    </xf>
    <xf numFmtId="0" fontId="15" fillId="10" borderId="24" xfId="1" applyFont="1" applyFill="1" applyBorder="1" applyAlignment="1">
      <alignment horizontal="left" vertical="top"/>
    </xf>
    <xf numFmtId="0" fontId="16" fillId="14" borderId="16" xfId="1" applyFont="1" applyFill="1" applyBorder="1" applyAlignment="1">
      <alignment horizontal="center" vertical="center"/>
    </xf>
    <xf numFmtId="0" fontId="16" fillId="14" borderId="18" xfId="1" applyFont="1" applyFill="1" applyBorder="1" applyAlignment="1">
      <alignment horizontal="center" vertical="center"/>
    </xf>
    <xf numFmtId="165" fontId="15" fillId="14" borderId="7" xfId="1" applyNumberFormat="1" applyFont="1" applyFill="1" applyBorder="1" applyAlignment="1">
      <alignment horizontal="center" vertical="center"/>
    </xf>
    <xf numFmtId="165" fontId="15" fillId="14" borderId="13" xfId="1" applyNumberFormat="1" applyFont="1" applyFill="1" applyBorder="1" applyAlignment="1">
      <alignment horizontal="center" vertical="center"/>
    </xf>
    <xf numFmtId="0" fontId="16" fillId="10" borderId="15" xfId="1" applyFont="1" applyFill="1" applyBorder="1" applyAlignment="1">
      <alignment horizontal="left"/>
    </xf>
    <xf numFmtId="0" fontId="16" fillId="10" borderId="12" xfId="1" applyFont="1" applyFill="1" applyBorder="1" applyAlignment="1">
      <alignment horizontal="left"/>
    </xf>
    <xf numFmtId="0" fontId="16" fillId="10" borderId="14" xfId="1" applyFont="1" applyFill="1" applyBorder="1" applyAlignment="1">
      <alignment horizontal="left"/>
    </xf>
    <xf numFmtId="0" fontId="16" fillId="14" borderId="5" xfId="1" applyFont="1" applyFill="1" applyBorder="1" applyAlignment="1">
      <alignment horizontal="left" vertical="top"/>
    </xf>
    <xf numFmtId="0" fontId="16" fillId="14" borderId="6" xfId="1" applyFont="1" applyFill="1" applyBorder="1" applyAlignment="1">
      <alignment horizontal="left" vertical="top"/>
    </xf>
    <xf numFmtId="0" fontId="16" fillId="14" borderId="1" xfId="1" applyFont="1" applyFill="1" applyBorder="1" applyAlignment="1">
      <alignment horizontal="left" vertical="top"/>
    </xf>
    <xf numFmtId="165" fontId="15" fillId="10" borderId="15" xfId="1" applyNumberFormat="1" applyFont="1" applyFill="1" applyBorder="1" applyAlignment="1">
      <alignment horizontal="center" vertical="center"/>
    </xf>
    <xf numFmtId="165" fontId="15" fillId="10" borderId="14" xfId="1" applyNumberFormat="1" applyFont="1" applyFill="1" applyBorder="1" applyAlignment="1">
      <alignment horizontal="center" vertical="center"/>
    </xf>
    <xf numFmtId="0" fontId="16" fillId="10" borderId="0" xfId="1" applyFont="1" applyFill="1" applyAlignment="1">
      <alignment horizontal="center" vertical="center"/>
    </xf>
    <xf numFmtId="0" fontId="16" fillId="14" borderId="0" xfId="1" applyFont="1" applyFill="1" applyAlignment="1">
      <alignment horizontal="center" vertical="center"/>
    </xf>
    <xf numFmtId="0" fontId="15" fillId="10" borderId="0" xfId="1" applyFont="1" applyFill="1" applyAlignment="1">
      <alignment horizontal="center" vertical="top"/>
    </xf>
    <xf numFmtId="0" fontId="15" fillId="14" borderId="43" xfId="1" applyFont="1" applyFill="1" applyBorder="1" applyAlignment="1">
      <alignment horizontal="center" vertical="center"/>
    </xf>
    <xf numFmtId="0" fontId="16" fillId="10" borderId="45" xfId="1" applyFont="1" applyFill="1" applyBorder="1" applyAlignment="1">
      <alignment horizontal="center" vertical="center"/>
    </xf>
    <xf numFmtId="0" fontId="16" fillId="14" borderId="45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 wrapText="1"/>
    </xf>
    <xf numFmtId="0" fontId="16" fillId="10" borderId="56" xfId="1" applyFont="1" applyFill="1" applyBorder="1" applyAlignment="1">
      <alignment horizontal="center" vertical="center"/>
    </xf>
    <xf numFmtId="0" fontId="16" fillId="10" borderId="16" xfId="1" applyFont="1" applyFill="1" applyBorder="1" applyAlignment="1">
      <alignment horizontal="center" vertical="center"/>
    </xf>
    <xf numFmtId="0" fontId="16" fillId="10" borderId="17" xfId="1" applyFont="1" applyFill="1" applyBorder="1" applyAlignment="1">
      <alignment horizontal="center" vertical="center"/>
    </xf>
    <xf numFmtId="0" fontId="16" fillId="10" borderId="18" xfId="1" applyFont="1" applyFill="1" applyBorder="1" applyAlignment="1">
      <alignment horizontal="center" vertical="center"/>
    </xf>
    <xf numFmtId="0" fontId="16" fillId="14" borderId="7" xfId="1" applyFont="1" applyFill="1" applyBorder="1" applyAlignment="1">
      <alignment horizontal="center" vertical="center"/>
    </xf>
    <xf numFmtId="0" fontId="16" fillId="14" borderId="0" xfId="1" applyFont="1" applyFill="1" applyBorder="1" applyAlignment="1">
      <alignment horizontal="center" vertical="center"/>
    </xf>
    <xf numFmtId="0" fontId="16" fillId="14" borderId="13" xfId="1" applyFont="1" applyFill="1" applyBorder="1" applyAlignment="1">
      <alignment horizontal="center" vertical="center"/>
    </xf>
    <xf numFmtId="0" fontId="16" fillId="10" borderId="7" xfId="1" applyFont="1" applyFill="1" applyBorder="1" applyAlignment="1">
      <alignment horizontal="center" vertical="center"/>
    </xf>
    <xf numFmtId="0" fontId="16" fillId="10" borderId="0" xfId="1" applyFont="1" applyFill="1" applyBorder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4" borderId="57" xfId="1" applyFont="1" applyFill="1" applyBorder="1" applyAlignment="1">
      <alignment horizontal="center" vertical="center"/>
    </xf>
    <xf numFmtId="0" fontId="16" fillId="14" borderId="58" xfId="1" applyFont="1" applyFill="1" applyBorder="1" applyAlignment="1">
      <alignment horizontal="center" vertical="center"/>
    </xf>
    <xf numFmtId="0" fontId="16" fillId="14" borderId="60" xfId="1" applyFont="1" applyFill="1" applyBorder="1" applyAlignment="1">
      <alignment horizontal="center" vertical="center"/>
    </xf>
    <xf numFmtId="0" fontId="16" fillId="14" borderId="15" xfId="1" applyFont="1" applyFill="1" applyBorder="1" applyAlignment="1">
      <alignment horizontal="left" vertical="top"/>
    </xf>
    <xf numFmtId="0" fontId="16" fillId="14" borderId="12" xfId="1" applyFont="1" applyFill="1" applyBorder="1" applyAlignment="1">
      <alignment horizontal="left" vertical="top"/>
    </xf>
    <xf numFmtId="0" fontId="16" fillId="14" borderId="14" xfId="1" applyFont="1" applyFill="1" applyBorder="1" applyAlignment="1">
      <alignment horizontal="left" vertical="top"/>
    </xf>
    <xf numFmtId="0" fontId="15" fillId="10" borderId="7" xfId="1" applyFont="1" applyFill="1" applyBorder="1" applyAlignment="1">
      <alignment horizontal="left" vertical="top"/>
    </xf>
    <xf numFmtId="0" fontId="15" fillId="10" borderId="0" xfId="1" applyFont="1" applyFill="1" applyBorder="1" applyAlignment="1">
      <alignment horizontal="left" vertical="top"/>
    </xf>
    <xf numFmtId="0" fontId="15" fillId="10" borderId="13" xfId="1" applyFont="1" applyFill="1" applyBorder="1" applyAlignment="1">
      <alignment horizontal="left" vertical="top"/>
    </xf>
    <xf numFmtId="0" fontId="16" fillId="14" borderId="5" xfId="1" applyFont="1" applyFill="1" applyBorder="1" applyAlignment="1">
      <alignment horizontal="center" vertical="center"/>
    </xf>
    <xf numFmtId="0" fontId="16" fillId="14" borderId="6" xfId="1" applyFont="1" applyFill="1" applyBorder="1" applyAlignment="1">
      <alignment horizontal="center" vertical="center"/>
    </xf>
    <xf numFmtId="0" fontId="16" fillId="14" borderId="1" xfId="1" applyFont="1" applyFill="1" applyBorder="1" applyAlignment="1">
      <alignment horizontal="center" vertical="center"/>
    </xf>
    <xf numFmtId="0" fontId="16" fillId="10" borderId="16" xfId="1" applyFont="1" applyFill="1" applyBorder="1" applyAlignment="1">
      <alignment horizontal="left" vertical="center"/>
    </xf>
    <xf numFmtId="0" fontId="16" fillId="10" borderId="17" xfId="1" applyFont="1" applyFill="1" applyBorder="1" applyAlignment="1">
      <alignment horizontal="left" vertical="center"/>
    </xf>
    <xf numFmtId="0" fontId="16" fillId="10" borderId="18" xfId="1" applyFont="1" applyFill="1" applyBorder="1" applyAlignment="1">
      <alignment horizontal="left" vertical="center"/>
    </xf>
    <xf numFmtId="0" fontId="15" fillId="14" borderId="7" xfId="1" applyFont="1" applyFill="1" applyBorder="1" applyAlignment="1">
      <alignment horizontal="left" vertical="top"/>
    </xf>
    <xf numFmtId="0" fontId="15" fillId="14" borderId="0" xfId="1" applyFont="1" applyFill="1" applyBorder="1" applyAlignment="1">
      <alignment horizontal="left" vertical="top"/>
    </xf>
    <xf numFmtId="0" fontId="15" fillId="14" borderId="13" xfId="1" applyFont="1" applyFill="1" applyBorder="1" applyAlignment="1">
      <alignment horizontal="left" vertical="top"/>
    </xf>
    <xf numFmtId="0" fontId="16" fillId="14" borderId="33" xfId="1" applyFont="1" applyFill="1" applyBorder="1" applyAlignment="1">
      <alignment horizontal="center" vertical="center"/>
    </xf>
    <xf numFmtId="0" fontId="16" fillId="10" borderId="5" xfId="1" applyFont="1" applyFill="1" applyBorder="1" applyAlignment="1">
      <alignment horizontal="center" vertical="center"/>
    </xf>
    <xf numFmtId="0" fontId="16" fillId="10" borderId="6" xfId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0" fontId="15" fillId="14" borderId="5" xfId="1" applyFont="1" applyFill="1" applyBorder="1" applyAlignment="1">
      <alignment horizontal="center" vertical="center"/>
    </xf>
    <xf numFmtId="0" fontId="15" fillId="14" borderId="1" xfId="1" applyFont="1" applyFill="1" applyBorder="1" applyAlignment="1">
      <alignment horizontal="center" vertical="center"/>
    </xf>
    <xf numFmtId="0" fontId="16" fillId="10" borderId="20" xfId="1" applyFont="1" applyFill="1" applyBorder="1" applyAlignment="1">
      <alignment horizontal="center" vertical="center"/>
    </xf>
    <xf numFmtId="0" fontId="16" fillId="10" borderId="21" xfId="1" applyFont="1" applyFill="1" applyBorder="1" applyAlignment="1">
      <alignment horizontal="center" vertical="center"/>
    </xf>
    <xf numFmtId="0" fontId="2" fillId="14" borderId="7" xfId="1" applyFont="1" applyFill="1" applyBorder="1" applyAlignment="1">
      <alignment horizontal="left" vertical="top"/>
    </xf>
    <xf numFmtId="0" fontId="27" fillId="10" borderId="16" xfId="1" applyFont="1" applyFill="1" applyBorder="1" applyAlignment="1">
      <alignment horizontal="center" vertical="center"/>
    </xf>
    <xf numFmtId="0" fontId="27" fillId="10" borderId="17" xfId="1" applyFont="1" applyFill="1" applyBorder="1" applyAlignment="1">
      <alignment horizontal="center" vertical="center"/>
    </xf>
    <xf numFmtId="0" fontId="27" fillId="10" borderId="18" xfId="1" applyFont="1" applyFill="1" applyBorder="1" applyAlignment="1">
      <alignment horizontal="center" vertical="center"/>
    </xf>
    <xf numFmtId="0" fontId="16" fillId="10" borderId="15" xfId="1" applyFont="1" applyFill="1" applyBorder="1" applyAlignment="1">
      <alignment horizontal="left" vertical="center"/>
    </xf>
    <xf numFmtId="0" fontId="16" fillId="10" borderId="12" xfId="1" applyFont="1" applyFill="1" applyBorder="1" applyAlignment="1">
      <alignment horizontal="left" vertical="center"/>
    </xf>
    <xf numFmtId="0" fontId="16" fillId="10" borderId="14" xfId="1" applyFont="1" applyFill="1" applyBorder="1" applyAlignment="1">
      <alignment horizontal="left" vertical="center"/>
    </xf>
    <xf numFmtId="0" fontId="15" fillId="14" borderId="7" xfId="1" applyFont="1" applyFill="1" applyBorder="1" applyAlignment="1">
      <alignment horizontal="center" vertical="center"/>
    </xf>
    <xf numFmtId="0" fontId="15" fillId="14" borderId="13" xfId="1" applyFont="1" applyFill="1" applyBorder="1" applyAlignment="1">
      <alignment horizontal="center" vertical="center"/>
    </xf>
    <xf numFmtId="165" fontId="15" fillId="14" borderId="46" xfId="1" applyNumberFormat="1" applyFont="1" applyFill="1" applyBorder="1" applyAlignment="1">
      <alignment horizontal="center" vertical="center"/>
    </xf>
    <xf numFmtId="165" fontId="15" fillId="10" borderId="46" xfId="1" applyNumberFormat="1" applyFont="1" applyFill="1" applyBorder="1" applyAlignment="1">
      <alignment horizontal="center" vertical="center"/>
    </xf>
    <xf numFmtId="0" fontId="16" fillId="10" borderId="5" xfId="1" applyFont="1" applyFill="1" applyBorder="1" applyAlignment="1">
      <alignment horizontal="left" vertical="center"/>
    </xf>
    <xf numFmtId="0" fontId="16" fillId="10" borderId="6" xfId="1" applyFont="1" applyFill="1" applyBorder="1" applyAlignment="1">
      <alignment horizontal="left" vertical="center"/>
    </xf>
    <xf numFmtId="0" fontId="16" fillId="10" borderId="1" xfId="1" applyFont="1" applyFill="1" applyBorder="1" applyAlignment="1">
      <alignment horizontal="left" vertical="center"/>
    </xf>
    <xf numFmtId="0" fontId="16" fillId="14" borderId="16" xfId="1" applyFont="1" applyFill="1" applyBorder="1" applyAlignment="1">
      <alignment horizontal="left" vertical="center"/>
    </xf>
    <xf numFmtId="0" fontId="16" fillId="14" borderId="17" xfId="1" applyFont="1" applyFill="1" applyBorder="1" applyAlignment="1">
      <alignment horizontal="left" vertical="center"/>
    </xf>
    <xf numFmtId="0" fontId="16" fillId="14" borderId="18" xfId="1" applyFont="1" applyFill="1" applyBorder="1" applyAlignment="1">
      <alignment horizontal="left" vertical="center"/>
    </xf>
    <xf numFmtId="165" fontId="15" fillId="10" borderId="47" xfId="1" applyNumberFormat="1" applyFont="1" applyFill="1" applyBorder="1" applyAlignment="1">
      <alignment horizontal="center" vertical="center"/>
    </xf>
    <xf numFmtId="165" fontId="16" fillId="14" borderId="2" xfId="1" applyNumberFormat="1" applyFont="1" applyFill="1" applyBorder="1" applyAlignment="1">
      <alignment horizontal="center" vertical="center"/>
    </xf>
    <xf numFmtId="0" fontId="15" fillId="10" borderId="47" xfId="1" applyFont="1" applyFill="1" applyBorder="1" applyAlignment="1">
      <alignment horizontal="left" vertical="top"/>
    </xf>
    <xf numFmtId="0" fontId="15" fillId="14" borderId="46" xfId="1" applyFont="1" applyFill="1" applyBorder="1" applyAlignment="1">
      <alignment horizontal="left" vertical="top"/>
    </xf>
    <xf numFmtId="0" fontId="15" fillId="10" borderId="46" xfId="1" applyFont="1" applyFill="1" applyBorder="1" applyAlignment="1">
      <alignment horizontal="left" vertical="top"/>
    </xf>
    <xf numFmtId="0" fontId="15" fillId="10" borderId="2" xfId="1" applyFont="1" applyFill="1" applyBorder="1" applyAlignment="1">
      <alignment horizontal="left" vertical="top"/>
    </xf>
    <xf numFmtId="0" fontId="16" fillId="14" borderId="52" xfId="1" applyFont="1" applyFill="1" applyBorder="1" applyAlignment="1"/>
    <xf numFmtId="0" fontId="16" fillId="14" borderId="10" xfId="1" applyFont="1" applyFill="1" applyBorder="1" applyAlignment="1"/>
    <xf numFmtId="0" fontId="16" fillId="14" borderId="24" xfId="1" applyFont="1" applyFill="1" applyBorder="1" applyAlignment="1"/>
    <xf numFmtId="165" fontId="15" fillId="10" borderId="2" xfId="1" applyNumberFormat="1" applyFont="1" applyFill="1" applyBorder="1" applyAlignment="1">
      <alignment horizontal="center" vertical="center"/>
    </xf>
    <xf numFmtId="165" fontId="16" fillId="10" borderId="46" xfId="1" applyNumberFormat="1" applyFont="1" applyFill="1" applyBorder="1" applyAlignment="1">
      <alignment horizontal="center" vertical="center" wrapText="1"/>
    </xf>
    <xf numFmtId="165" fontId="16" fillId="14" borderId="46" xfId="1" applyNumberFormat="1" applyFont="1" applyFill="1" applyBorder="1" applyAlignment="1">
      <alignment horizontal="center" vertical="center" wrapText="1"/>
    </xf>
    <xf numFmtId="0" fontId="2" fillId="10" borderId="46" xfId="1" applyFont="1" applyFill="1" applyBorder="1" applyAlignment="1">
      <alignment horizontal="left" vertical="top" wrapText="1"/>
    </xf>
    <xf numFmtId="0" fontId="2" fillId="14" borderId="46" xfId="1" applyFont="1" applyFill="1" applyBorder="1" applyAlignment="1">
      <alignment horizontal="left" vertical="top" wrapText="1"/>
    </xf>
    <xf numFmtId="0" fontId="26" fillId="14" borderId="46" xfId="1" applyFont="1" applyFill="1" applyBorder="1" applyAlignment="1">
      <alignment horizontal="left" vertical="top" wrapText="1"/>
    </xf>
    <xf numFmtId="0" fontId="15" fillId="14" borderId="46" xfId="1" applyFont="1" applyFill="1" applyBorder="1" applyAlignment="1">
      <alignment horizontal="center" vertical="center"/>
    </xf>
    <xf numFmtId="0" fontId="15" fillId="10" borderId="46" xfId="1" applyFont="1" applyFill="1" applyBorder="1" applyAlignment="1">
      <alignment horizontal="center" vertical="center"/>
    </xf>
    <xf numFmtId="0" fontId="15" fillId="14" borderId="61" xfId="1" applyFont="1" applyFill="1" applyBorder="1" applyAlignment="1">
      <alignment horizontal="center" vertical="center"/>
    </xf>
    <xf numFmtId="0" fontId="15" fillId="10" borderId="1" xfId="1" applyFont="1" applyFill="1" applyBorder="1" applyAlignment="1">
      <alignment horizontal="center" vertical="center"/>
    </xf>
    <xf numFmtId="0" fontId="15" fillId="10" borderId="2" xfId="1" applyFont="1" applyFill="1" applyBorder="1" applyAlignment="1">
      <alignment horizontal="center" vertical="center"/>
    </xf>
    <xf numFmtId="165" fontId="16" fillId="10" borderId="5" xfId="1" applyNumberFormat="1" applyFont="1" applyFill="1" applyBorder="1" applyAlignment="1">
      <alignment horizontal="center" vertical="center"/>
    </xf>
    <xf numFmtId="165" fontId="16" fillId="10" borderId="6" xfId="1" applyNumberFormat="1" applyFont="1" applyFill="1" applyBorder="1" applyAlignment="1">
      <alignment horizontal="center" vertical="center"/>
    </xf>
    <xf numFmtId="165" fontId="16" fillId="10" borderId="1" xfId="1" applyNumberFormat="1" applyFont="1" applyFill="1" applyBorder="1" applyAlignment="1">
      <alignment horizontal="center" vertical="center"/>
    </xf>
    <xf numFmtId="165" fontId="16" fillId="14" borderId="61" xfId="1" applyNumberFormat="1" applyFont="1" applyFill="1" applyBorder="1" applyAlignment="1">
      <alignment horizontal="center" vertical="center" wrapText="1"/>
    </xf>
    <xf numFmtId="0" fontId="15" fillId="10" borderId="46" xfId="1" applyFont="1" applyFill="1" applyBorder="1" applyAlignment="1">
      <alignment horizontal="left" vertical="top" wrapText="1"/>
    </xf>
    <xf numFmtId="0" fontId="15" fillId="14" borderId="46" xfId="1" applyFont="1" applyFill="1" applyBorder="1" applyAlignment="1">
      <alignment horizontal="left" vertical="top" wrapText="1"/>
    </xf>
    <xf numFmtId="0" fontId="15" fillId="10" borderId="48" xfId="1" applyFont="1" applyFill="1" applyBorder="1" applyAlignment="1">
      <alignment horizontal="left" vertical="top" wrapText="1"/>
    </xf>
    <xf numFmtId="0" fontId="28" fillId="14" borderId="5" xfId="1" applyFont="1" applyFill="1" applyBorder="1" applyAlignment="1">
      <alignment horizontal="left" vertical="top" wrapText="1"/>
    </xf>
    <xf numFmtId="0" fontId="28" fillId="14" borderId="6" xfId="1" applyFont="1" applyFill="1" applyBorder="1" applyAlignment="1">
      <alignment horizontal="left" vertical="top" wrapText="1"/>
    </xf>
    <xf numFmtId="0" fontId="28" fillId="14" borderId="1" xfId="1" applyFont="1" applyFill="1" applyBorder="1" applyAlignment="1">
      <alignment horizontal="left" vertical="top" wrapText="1"/>
    </xf>
    <xf numFmtId="0" fontId="28" fillId="14" borderId="16" xfId="1" applyFont="1" applyFill="1" applyBorder="1" applyAlignment="1">
      <alignment horizontal="left" vertical="top" wrapText="1"/>
    </xf>
    <xf numFmtId="0" fontId="28" fillId="14" borderId="17" xfId="1" applyFont="1" applyFill="1" applyBorder="1" applyAlignment="1">
      <alignment horizontal="left" vertical="top" wrapText="1"/>
    </xf>
    <xf numFmtId="0" fontId="28" fillId="14" borderId="18" xfId="1" applyFont="1" applyFill="1" applyBorder="1" applyAlignment="1">
      <alignment horizontal="left" vertical="top" wrapText="1"/>
    </xf>
    <xf numFmtId="0" fontId="15" fillId="14" borderId="47" xfId="1" applyFont="1" applyFill="1" applyBorder="1" applyAlignment="1">
      <alignment horizontal="center" vertical="center" wrapText="1"/>
    </xf>
    <xf numFmtId="165" fontId="16" fillId="10" borderId="2" xfId="1" applyNumberFormat="1" applyFont="1" applyFill="1" applyBorder="1" applyAlignment="1">
      <alignment horizontal="center" vertical="center" wrapText="1"/>
    </xf>
    <xf numFmtId="0" fontId="2" fillId="10" borderId="51" xfId="1" applyFont="1" applyFill="1" applyBorder="1" applyAlignment="1">
      <alignment horizontal="left" vertical="center"/>
    </xf>
    <xf numFmtId="0" fontId="2" fillId="10" borderId="9" xfId="1" applyFont="1" applyFill="1" applyBorder="1" applyAlignment="1">
      <alignment horizontal="left" vertical="center"/>
    </xf>
    <xf numFmtId="0" fontId="2" fillId="10" borderId="23" xfId="1" applyFont="1" applyFill="1" applyBorder="1" applyAlignment="1">
      <alignment horizontal="left" vertical="center"/>
    </xf>
    <xf numFmtId="0" fontId="15" fillId="14" borderId="63" xfId="1" applyFont="1" applyFill="1" applyBorder="1" applyAlignment="1">
      <alignment horizontal="left" vertical="top" wrapText="1"/>
    </xf>
    <xf numFmtId="0" fontId="15" fillId="13" borderId="72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166" fontId="0" fillId="0" borderId="46" xfId="0" applyNumberFormat="1" applyBorder="1" applyAlignment="1">
      <alignment horizontal="center"/>
    </xf>
    <xf numFmtId="0" fontId="0" fillId="16" borderId="4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25" fillId="7" borderId="48" xfId="0" applyFont="1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166" fontId="0" fillId="17" borderId="46" xfId="0" applyNumberFormat="1" applyFill="1" applyBorder="1" applyAlignment="1">
      <alignment horizontal="center"/>
    </xf>
    <xf numFmtId="166" fontId="0" fillId="13" borderId="47" xfId="0" applyNumberFormat="1" applyFill="1" applyBorder="1" applyAlignment="1">
      <alignment horizontal="center"/>
    </xf>
    <xf numFmtId="0" fontId="49" fillId="0" borderId="0" xfId="7"/>
  </cellXfs>
  <cellStyles count="8">
    <cellStyle name="Hyperlink" xfId="7" builtinId="8"/>
    <cellStyle name="Normal" xfId="0" builtinId="0"/>
    <cellStyle name="Normal 2" xfId="4"/>
    <cellStyle name="Normal 2 2" xfId="6"/>
    <cellStyle name="Normal_Cheque Writing PMP" xfId="5"/>
    <cellStyle name="Normal_TAX" xfId="1"/>
    <cellStyle name="Normal_taxform05-06" xfId="2"/>
    <cellStyle name="Percent" xfId="3" builtinId="5"/>
  </cellStyles>
  <dxfs count="0"/>
  <tableStyles count="0" defaultTableStyle="TableStyleMedium9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01004\e\K41\bll\pay\BILLpaybl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10001\D\CIRCLE\SC3\PAY\PAYBI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10001\D\CIRCLE\SC3\PAY\PAY-AR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(4)/Tax/I.T/taxform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vba1ks\f\self\tax10-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artiya\e\desk-4-1\ka4-1\15-16\income%20tax%202015-16\staff1516\mandp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iram\Google%20Drive\MHSDP%20data\Account%202004\pmp2002\Form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41/07-08/tax/IT/tax06-07other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sdp2\pii450_c\PURI\2001%20ec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vba1ks\f\ka4-1\0910\Tax0910\IncomTax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00000"/>
      <sheetName val="1000000000000"/>
      <sheetName val="2000000000000"/>
      <sheetName val="3000000000000"/>
      <sheetName val="4000000000000"/>
      <sheetName val="5000000000000"/>
      <sheetName val="6000000000000"/>
      <sheetName val="conv"/>
      <sheetName val="CAL(1)"/>
      <sheetName val="CAL(2)"/>
      <sheetName val="ackno"/>
      <sheetName val="C.S.F"/>
      <sheetName val="C.S.B"/>
      <sheetName val="F.S."/>
      <sheetName val="B.S."/>
      <sheetName val="BILL"/>
      <sheetName val="PAYSLIP"/>
      <sheetName val="PAYROLL"/>
      <sheetName val="fa"/>
      <sheetName val="EX.PAY"/>
      <sheetName val="GPF"/>
      <sheetName val="HBA"/>
      <sheetName val="mtrcy"/>
      <sheetName val="COMPU"/>
      <sheetName val="CY"/>
      <sheetName val="I.TAX"/>
      <sheetName val="PLI"/>
      <sheetName val="GIS"/>
      <sheetName val="HO.RE."/>
      <sheetName val="PT"/>
      <sheetName val="HO.SO."/>
      <sheetName val="Majoduck_SK_1"/>
      <sheetName val="PAY 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-DET"/>
    </sheetNames>
    <sheetDataSet>
      <sheetData sheetId="0">
        <row r="8">
          <cell r="B8" t="str">
            <v xml:space="preserve">SHRI S.M.BHANDARWAR, </v>
          </cell>
          <cell r="AB8" t="str">
            <v>SHRI R.N.SHEREKAR</v>
          </cell>
        </row>
        <row r="47">
          <cell r="B47" t="str">
            <v>SHRI S.S.TAPSE</v>
          </cell>
        </row>
        <row r="49">
          <cell r="AA49" t="str">
            <v>H.G.STENO.</v>
          </cell>
        </row>
        <row r="88">
          <cell r="B88" t="str">
            <v>H.D.M.</v>
          </cell>
          <cell r="AB88" t="str">
            <v>A.D.M.</v>
          </cell>
        </row>
        <row r="128">
          <cell r="B128" t="str">
            <v>TREACER</v>
          </cell>
          <cell r="AB128" t="str">
            <v>SUPDT.</v>
          </cell>
        </row>
        <row r="168">
          <cell r="B168" t="str">
            <v>F. C.</v>
          </cell>
          <cell r="AB168" t="str">
            <v>SR.CL.</v>
          </cell>
        </row>
        <row r="248">
          <cell r="AB248" t="str">
            <v>JR.CL.</v>
          </cell>
        </row>
        <row r="448">
          <cell r="AB448" t="str">
            <v>A.E.II</v>
          </cell>
        </row>
        <row r="568">
          <cell r="AB568" t="str">
            <v>PEON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 (3)"/>
      <sheetName val="I-FORM (3)"/>
      <sheetName val="I-FORM (4)"/>
      <sheetName val="lunge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duck_SK_1"/>
      <sheetName val="accInt (4)"/>
      <sheetName val="accInt (3)"/>
      <sheetName val="PAY (3)"/>
      <sheetName val="I-FORM"/>
      <sheetName val="form16"/>
      <sheetName val="PAY Detai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duck_SK_1"/>
      <sheetName val="PAY (3)"/>
      <sheetName val="I-FORM"/>
      <sheetName val="form16 (Old)"/>
      <sheetName val="form16(Rev)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2004-5  (2)"/>
      <sheetName val="Income tax 2004-5 "/>
      <sheetName val="Form 16 2003 (2)"/>
      <sheetName val="Form16 suppli (3)"/>
      <sheetName val="Sheet3 (4)"/>
      <sheetName val="details of pay (2)"/>
      <sheetName val="Sheet7"/>
      <sheetName val="Form16 suppli (6)"/>
      <sheetName val="Form16 suppli (5)"/>
      <sheetName val="Sheet3 (3)"/>
      <sheetName val="PW.Prapatra88"/>
      <sheetName val="Sheet1 (2)"/>
      <sheetName val="Sheet6"/>
      <sheetName val="Sheet13"/>
      <sheetName val="RefundSD"/>
      <sheetName val="Retirement"/>
      <sheetName val="Darypur "/>
      <sheetName val="MSA"/>
      <sheetName val="vikalp"/>
      <sheetName val="Sheet2"/>
      <sheetName val="house"/>
      <sheetName val="certif."/>
      <sheetName val="C.T.C."/>
      <sheetName val="Sheet1"/>
      <sheetName val="Form16 suppli (2)"/>
      <sheetName val="Time limit"/>
      <sheetName val="Hand receipt"/>
      <sheetName val="MTR 55"/>
      <sheetName val="Completion cirtificate"/>
      <sheetName val="Sheet5"/>
      <sheetName val="Form16 suppli"/>
      <sheetName val="Income tax2002"/>
      <sheetName val="Form 16 2003"/>
      <sheetName val="Income tax 2003"/>
      <sheetName val="Pay.sche. local curency"/>
      <sheetName val="Sheet4"/>
      <sheetName val="Pariksha"/>
      <sheetName val="Sheet3"/>
      <sheetName val="FormD1"/>
      <sheetName val="FormD"/>
      <sheetName val="Deposit form70"/>
      <sheetName val="Sheet8"/>
      <sheetName val="details of p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duck_SK_1"/>
      <sheetName val="PAY (6)"/>
      <sheetName val="PAY (5)"/>
      <sheetName val="CAL(2)"/>
      <sheetName val="conv"/>
      <sheetName val="PAY (3)"/>
      <sheetName val="I-FORM"/>
      <sheetName val="Sheet1"/>
      <sheetName val="PAY (4)"/>
      <sheetName val="form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"/>
      <sheetName val="DEY   VAJATI"/>
      <sheetName val="FORM STR 56"/>
      <sheetName val="G P F"/>
      <sheetName val="G.I.S."/>
      <sheetName val="P.T."/>
      <sheetName val="FRONT BACK"/>
      <sheetName val="Computer Slip1"/>
      <sheetName val="M CYCLE ADV."/>
      <sheetName val="A ROLL"/>
      <sheetName val="TRY. SLIP"/>
      <sheetName val="S"/>
      <sheetName val="T"/>
      <sheetName val="U"/>
      <sheetName val="Current"/>
      <sheetName val="P L I"/>
      <sheetName val="FORM  12"/>
      <sheetName val="IN FIG FORMULA"/>
      <sheetName val="Payslip"/>
      <sheetName val="Com"/>
      <sheetName val="H.R.A."/>
      <sheetName val="Try.Month exp."/>
    </sheetNames>
    <sheetDataSet>
      <sheetData sheetId="0"/>
      <sheetData sheetId="1">
        <row r="2">
          <cell r="B2" t="str">
            <v>ekgs 10$2001 ns; ekgs 11$2001</v>
          </cell>
          <cell r="E2" t="str">
            <v>ekgs vkWDVkscj &amp;2001</v>
          </cell>
          <cell r="H2">
            <v>795317</v>
          </cell>
          <cell r="J2" t="str">
            <v>Uptodate exp.of Gaz.b.</v>
          </cell>
          <cell r="L2" t="str">
            <v>Shri Nemade</v>
          </cell>
          <cell r="M2">
            <v>37056</v>
          </cell>
        </row>
        <row r="3">
          <cell r="L3" t="str">
            <v>Shri Talokar</v>
          </cell>
          <cell r="M3">
            <v>37051</v>
          </cell>
        </row>
        <row r="4">
          <cell r="B4" t="str">
            <v>10/2001 paid in 11/2001</v>
          </cell>
          <cell r="E4">
            <v>37165</v>
          </cell>
          <cell r="L4" t="str">
            <v>Shri Sarode</v>
          </cell>
          <cell r="M4">
            <v>37053</v>
          </cell>
        </row>
        <row r="5">
          <cell r="L5" t="str">
            <v>Shri Kadam</v>
          </cell>
          <cell r="M5">
            <v>37119</v>
          </cell>
        </row>
        <row r="6">
          <cell r="B6" t="str">
            <v>ekgs uksOgscj &amp;2001 P;k 1 rkj[ksyk ns; vlysyY;k vkWDVkscj &amp;2001 P;k osrukrqu dsysY;k otkrh-</v>
          </cell>
          <cell r="L6" t="str">
            <v>Shri. Chavan</v>
          </cell>
          <cell r="M6">
            <v>0</v>
          </cell>
          <cell r="Q6" t="str">
            <v xml:space="preserve"> 'kklu fu.kZ; dzekad eHAok1100$15$2000$lsok&amp;10 ea_kky; eqaobZ </v>
          </cell>
        </row>
        <row r="7">
          <cell r="L7" t="str">
            <v>Ku. Pasarkar</v>
          </cell>
          <cell r="M7">
            <v>37163</v>
          </cell>
          <cell r="Q7" t="str">
            <v xml:space="preserve"> fnukad 22 vkWxLV 2000 uqlkj ekgs 1$2000 rs 7$2000 ph FAdckdh</v>
          </cell>
        </row>
        <row r="8">
          <cell r="B8">
            <v>33979</v>
          </cell>
          <cell r="C8" t="str">
            <v>Net payment under Rs.</v>
          </cell>
          <cell r="F8" t="str">
            <v>Rs. Thirty three thousand nine hundred seventy nine only</v>
          </cell>
          <cell r="O8">
            <v>33979</v>
          </cell>
        </row>
        <row r="9">
          <cell r="F9" t="str">
            <v>&amp; paise nil</v>
          </cell>
        </row>
        <row r="10">
          <cell r="B10">
            <v>33978</v>
          </cell>
          <cell r="C10" t="str">
            <v>Net payment</v>
          </cell>
          <cell r="F10" t="str">
            <v>Rs. Thirty three thousand nine hundred seventy eight only</v>
          </cell>
          <cell r="O10">
            <v>33978</v>
          </cell>
        </row>
        <row r="11">
          <cell r="F11" t="str">
            <v>&amp; paise nil only</v>
          </cell>
        </row>
        <row r="12">
          <cell r="B12">
            <v>9356</v>
          </cell>
          <cell r="C12" t="str">
            <v>Total Deduction</v>
          </cell>
          <cell r="F12" t="str">
            <v>Rs. Nine thousand three hundred fifty six only</v>
          </cell>
          <cell r="O12">
            <v>9356</v>
          </cell>
        </row>
        <row r="13">
          <cell r="F13" t="str">
            <v>&amp; paise nil only</v>
          </cell>
        </row>
        <row r="14">
          <cell r="B14">
            <v>450</v>
          </cell>
          <cell r="C14" t="str">
            <v>Festival Advance</v>
          </cell>
          <cell r="F14" t="str">
            <v>Rs.Four Hundread fifty only</v>
          </cell>
          <cell r="O14">
            <v>450</v>
          </cell>
        </row>
        <row r="15">
          <cell r="F15" t="str">
            <v>&amp; paise nil only</v>
          </cell>
        </row>
        <row r="16">
          <cell r="B16">
            <v>0</v>
          </cell>
          <cell r="C16" t="str">
            <v>P.L.I.</v>
          </cell>
          <cell r="F16" t="str">
            <v>Rs.</v>
          </cell>
        </row>
        <row r="17">
          <cell r="F17" t="str">
            <v>&amp; paise nil only</v>
          </cell>
        </row>
        <row r="18">
          <cell r="B18">
            <v>0</v>
          </cell>
          <cell r="C18" t="str">
            <v>G.P.F. for Class-III</v>
          </cell>
          <cell r="O18">
            <v>0</v>
          </cell>
        </row>
        <row r="19">
          <cell r="F19" t="str">
            <v>&amp; paise nil only</v>
          </cell>
        </row>
        <row r="20">
          <cell r="B20">
            <v>7150</v>
          </cell>
          <cell r="C20" t="str">
            <v>G.P.F. for Class-III</v>
          </cell>
          <cell r="F20" t="str">
            <v>Rs.Seven thousand one hundred fifty only</v>
          </cell>
          <cell r="O20">
            <v>7150</v>
          </cell>
        </row>
        <row r="21">
          <cell r="F21" t="str">
            <v>&amp; paise nil only</v>
          </cell>
        </row>
        <row r="22">
          <cell r="C22" t="str">
            <v>G.P.F. for Class IV</v>
          </cell>
          <cell r="O22">
            <v>0</v>
          </cell>
        </row>
        <row r="24">
          <cell r="C24" t="str">
            <v>Jeie&amp;Ceer</v>
          </cell>
          <cell r="O24">
            <v>0</v>
          </cell>
        </row>
        <row r="26">
          <cell r="C26" t="str">
            <v>hejlehesâ[</v>
          </cell>
          <cell r="O26">
            <v>0</v>
          </cell>
        </row>
        <row r="28">
          <cell r="B28">
            <v>1000</v>
          </cell>
          <cell r="C28" t="str">
            <v>P.T. for Non-Gazeted</v>
          </cell>
          <cell r="F28" t="str">
            <v>Rs. One thousand only</v>
          </cell>
          <cell r="O28">
            <v>1000</v>
          </cell>
        </row>
        <row r="29">
          <cell r="F29" t="str">
            <v>&amp; paise nil only</v>
          </cell>
        </row>
        <row r="30">
          <cell r="C30" t="str">
            <v>Intrest of H.B. Loan</v>
          </cell>
        </row>
        <row r="32">
          <cell r="C32" t="str">
            <v>House Rent Non-Gazeted</v>
          </cell>
        </row>
        <row r="34">
          <cell r="B34">
            <v>336</v>
          </cell>
          <cell r="C34" t="str">
            <v>M/cycle Adv.Non-Gazeted</v>
          </cell>
          <cell r="F34" t="str">
            <v>Rs.Three hundred thirty six only</v>
          </cell>
        </row>
        <row r="36">
          <cell r="B36">
            <v>750</v>
          </cell>
          <cell r="C36" t="str">
            <v>House Bldg.Advance Non-Gazeted</v>
          </cell>
          <cell r="F36" t="str">
            <v>Rs.Seven hundred fifty only</v>
          </cell>
        </row>
        <row r="38">
          <cell r="B38">
            <v>120</v>
          </cell>
          <cell r="C38" t="str">
            <v>G.I.S. for Gazeted</v>
          </cell>
          <cell r="F38" t="str">
            <v>Rs.One hundred twenty  only</v>
          </cell>
          <cell r="O38">
            <v>120</v>
          </cell>
        </row>
        <row r="39">
          <cell r="F39" t="str">
            <v>&amp; paise nil only</v>
          </cell>
        </row>
        <row r="40">
          <cell r="B40">
            <v>120</v>
          </cell>
          <cell r="C40" t="str">
            <v>G.I.S. for Accountant</v>
          </cell>
          <cell r="F40" t="str">
            <v>Rs.One hundred twenty  only</v>
          </cell>
          <cell r="O40">
            <v>120</v>
          </cell>
        </row>
        <row r="41">
          <cell r="F41" t="str">
            <v>&amp; paise nil only</v>
          </cell>
        </row>
        <row r="42">
          <cell r="B42">
            <v>33978</v>
          </cell>
          <cell r="F42" t="str">
            <v>Rs. Thirty three thousand nine hundred seventy eight only</v>
          </cell>
        </row>
        <row r="44">
          <cell r="C44" t="str">
            <v>D.A.</v>
          </cell>
          <cell r="E44" t="str">
            <v>H.R.A</v>
          </cell>
        </row>
        <row r="45">
          <cell r="C45">
            <v>0.38</v>
          </cell>
          <cell r="E45">
            <v>7.4999999999999997E-2</v>
          </cell>
          <cell r="K45" t="str">
            <v>P.T.</v>
          </cell>
          <cell r="L45" t="str">
            <v>1.1.96</v>
          </cell>
          <cell r="M45" t="str">
            <v>1.10.96</v>
          </cell>
          <cell r="O45" t="str">
            <v>1.4.99</v>
          </cell>
          <cell r="P45" t="str">
            <v>1.4.2000</v>
          </cell>
          <cell r="U45" t="str">
            <v>GIS</v>
          </cell>
          <cell r="V45" t="str">
            <v>I</v>
          </cell>
          <cell r="W45" t="str">
            <v>II</v>
          </cell>
          <cell r="X45" t="str">
            <v>III</v>
          </cell>
          <cell r="Y45" t="str">
            <v>IV</v>
          </cell>
        </row>
        <row r="46">
          <cell r="E46">
            <v>0.05</v>
          </cell>
          <cell r="L46" t="str">
            <v>30.9.96</v>
          </cell>
          <cell r="M46" t="str">
            <v>30.4.98</v>
          </cell>
          <cell r="O46" t="str">
            <v>upto date</v>
          </cell>
          <cell r="P46" t="str">
            <v>upto date</v>
          </cell>
          <cell r="U46" t="str">
            <v xml:space="preserve"> -</v>
          </cell>
          <cell r="V46">
            <v>120</v>
          </cell>
          <cell r="W46">
            <v>60</v>
          </cell>
          <cell r="X46">
            <v>30</v>
          </cell>
          <cell r="Y46">
            <v>15</v>
          </cell>
        </row>
        <row r="47">
          <cell r="K47">
            <v>1500</v>
          </cell>
          <cell r="L47" t="str">
            <v xml:space="preserve"> -</v>
          </cell>
          <cell r="M47" t="str">
            <v xml:space="preserve"> -</v>
          </cell>
          <cell r="O47" t="str">
            <v xml:space="preserve"> -</v>
          </cell>
          <cell r="P47" t="str">
            <v xml:space="preserve"> -</v>
          </cell>
        </row>
        <row r="48">
          <cell r="K48">
            <v>1501</v>
          </cell>
          <cell r="L48">
            <v>30</v>
          </cell>
          <cell r="M48" t="str">
            <v xml:space="preserve"> -</v>
          </cell>
          <cell r="O48" t="str">
            <v xml:space="preserve"> -</v>
          </cell>
          <cell r="P48" t="str">
            <v xml:space="preserve"> -</v>
          </cell>
        </row>
        <row r="49">
          <cell r="K49">
            <v>2000</v>
          </cell>
          <cell r="L49">
            <v>30</v>
          </cell>
          <cell r="M49" t="str">
            <v xml:space="preserve"> -</v>
          </cell>
          <cell r="O49" t="str">
            <v xml:space="preserve"> -</v>
          </cell>
          <cell r="P49" t="str">
            <v xml:space="preserve"> -</v>
          </cell>
        </row>
        <row r="50">
          <cell r="K50">
            <v>2001</v>
          </cell>
          <cell r="L50">
            <v>30</v>
          </cell>
          <cell r="M50">
            <v>30</v>
          </cell>
          <cell r="O50">
            <v>30</v>
          </cell>
          <cell r="P50">
            <v>30</v>
          </cell>
        </row>
        <row r="51">
          <cell r="K51">
            <v>2500</v>
          </cell>
          <cell r="L51">
            <v>30</v>
          </cell>
          <cell r="M51">
            <v>30</v>
          </cell>
          <cell r="O51">
            <v>30</v>
          </cell>
          <cell r="P51">
            <v>30</v>
          </cell>
        </row>
        <row r="52">
          <cell r="K52">
            <v>2501</v>
          </cell>
          <cell r="L52">
            <v>40</v>
          </cell>
          <cell r="M52">
            <v>40</v>
          </cell>
          <cell r="O52">
            <v>60</v>
          </cell>
          <cell r="P52">
            <v>60</v>
          </cell>
          <cell r="R52" t="str">
            <v>Travelling Allowance</v>
          </cell>
        </row>
        <row r="53">
          <cell r="K53">
            <v>3500</v>
          </cell>
          <cell r="L53">
            <v>40</v>
          </cell>
          <cell r="M53">
            <v>40</v>
          </cell>
          <cell r="O53">
            <v>60</v>
          </cell>
          <cell r="P53">
            <v>60</v>
          </cell>
        </row>
        <row r="54">
          <cell r="K54">
            <v>3501</v>
          </cell>
          <cell r="L54">
            <v>60</v>
          </cell>
          <cell r="M54">
            <v>60</v>
          </cell>
          <cell r="O54">
            <v>90</v>
          </cell>
          <cell r="P54">
            <v>120</v>
          </cell>
          <cell r="U54">
            <v>2500</v>
          </cell>
          <cell r="V54">
            <v>75</v>
          </cell>
        </row>
        <row r="55">
          <cell r="K55">
            <v>5000</v>
          </cell>
          <cell r="L55">
            <v>60</v>
          </cell>
          <cell r="M55">
            <v>60</v>
          </cell>
          <cell r="O55">
            <v>90</v>
          </cell>
          <cell r="P55">
            <v>120</v>
          </cell>
          <cell r="U55">
            <v>6500</v>
          </cell>
          <cell r="V55">
            <v>75</v>
          </cell>
        </row>
        <row r="56">
          <cell r="K56">
            <v>5001</v>
          </cell>
          <cell r="L56">
            <v>70</v>
          </cell>
          <cell r="M56">
            <v>80</v>
          </cell>
          <cell r="O56">
            <v>150</v>
          </cell>
          <cell r="P56">
            <v>175</v>
          </cell>
          <cell r="U56">
            <v>6501</v>
          </cell>
          <cell r="V56">
            <v>200</v>
          </cell>
        </row>
        <row r="57">
          <cell r="K57">
            <v>10000</v>
          </cell>
          <cell r="L57">
            <v>70</v>
          </cell>
          <cell r="M57">
            <v>80</v>
          </cell>
          <cell r="O57">
            <v>150</v>
          </cell>
          <cell r="P57">
            <v>175</v>
          </cell>
          <cell r="U57">
            <v>8000</v>
          </cell>
          <cell r="V57">
            <v>200</v>
          </cell>
        </row>
        <row r="58">
          <cell r="K58">
            <v>10001</v>
          </cell>
          <cell r="L58">
            <v>70</v>
          </cell>
          <cell r="M58">
            <v>80</v>
          </cell>
          <cell r="O58">
            <v>175</v>
          </cell>
          <cell r="P58">
            <v>200</v>
          </cell>
          <cell r="U58">
            <v>8001</v>
          </cell>
          <cell r="V58">
            <v>400</v>
          </cell>
        </row>
        <row r="59">
          <cell r="K59">
            <v>15000</v>
          </cell>
          <cell r="L59">
            <v>70</v>
          </cell>
          <cell r="M59">
            <v>80</v>
          </cell>
          <cell r="O59">
            <v>175</v>
          </cell>
          <cell r="P59">
            <v>200</v>
          </cell>
          <cell r="U59">
            <v>25000</v>
          </cell>
          <cell r="V59">
            <v>400</v>
          </cell>
        </row>
        <row r="60">
          <cell r="K60">
            <v>15001</v>
          </cell>
          <cell r="O60">
            <v>175</v>
          </cell>
          <cell r="P60">
            <v>200</v>
          </cell>
        </row>
        <row r="61">
          <cell r="K61">
            <v>25000</v>
          </cell>
          <cell r="O61">
            <v>175</v>
          </cell>
          <cell r="P61">
            <v>200</v>
          </cell>
        </row>
        <row r="102">
          <cell r="O102" t="str">
            <v>DEDUCTION</v>
          </cell>
        </row>
        <row r="103">
          <cell r="P103" t="str">
            <v>Adistable by A.G.</v>
          </cell>
        </row>
        <row r="104">
          <cell r="B104" t="str">
            <v>Name</v>
          </cell>
          <cell r="C104" t="str">
            <v>Fixed IR</v>
          </cell>
          <cell r="D104" t="str">
            <v>Leave</v>
          </cell>
          <cell r="E104" t="str">
            <v>Basic</v>
          </cell>
          <cell r="F104" t="str">
            <v>D.A.</v>
          </cell>
          <cell r="G104" t="str">
            <v>C.L.A.</v>
          </cell>
          <cell r="H104" t="str">
            <v>H.R.A.</v>
          </cell>
          <cell r="I104" t="str">
            <v>Wash</v>
          </cell>
          <cell r="J104" t="str">
            <v>Gross</v>
          </cell>
          <cell r="K104" t="str">
            <v>Conv PTA</v>
          </cell>
          <cell r="L104" t="str">
            <v xml:space="preserve">Gross </v>
          </cell>
          <cell r="O104" t="str">
            <v>For</v>
          </cell>
          <cell r="Z104" t="str">
            <v>Total</v>
          </cell>
          <cell r="AA104" t="str">
            <v>Net</v>
          </cell>
          <cell r="AB104" t="str">
            <v>Remark</v>
          </cell>
        </row>
        <row r="105">
          <cell r="B105" t="str">
            <v>Incumbent</v>
          </cell>
          <cell r="C105" t="str">
            <v xml:space="preserve">personal </v>
          </cell>
          <cell r="D105" t="str">
            <v>Salary</v>
          </cell>
          <cell r="F105" t="str">
            <v>Amount/</v>
          </cell>
          <cell r="I105" t="str">
            <v>Allow/</v>
          </cell>
          <cell r="J105" t="str">
            <v xml:space="preserve">salary  </v>
          </cell>
          <cell r="K105" t="str">
            <v>Hono</v>
          </cell>
          <cell r="L105" t="str">
            <v>Total</v>
          </cell>
          <cell r="O105" t="str">
            <v>Audit</v>
          </cell>
          <cell r="P105" t="str">
            <v xml:space="preserve">General </v>
          </cell>
          <cell r="R105" t="str">
            <v>HBA. Adv</v>
          </cell>
          <cell r="Z105" t="str">
            <v>Deduction</v>
          </cell>
          <cell r="AA105" t="str">
            <v>Amount</v>
          </cell>
        </row>
        <row r="106">
          <cell r="C106" t="str">
            <v>AddL/ spl</v>
          </cell>
          <cell r="F106" t="str">
            <v xml:space="preserve">Addl DA </v>
          </cell>
          <cell r="I106" t="str">
            <v>Other</v>
          </cell>
          <cell r="J106" t="str">
            <v>(PA + TA</v>
          </cell>
          <cell r="O106" t="str">
            <v>use only</v>
          </cell>
          <cell r="P106" t="str">
            <v>Provident fund</v>
          </cell>
          <cell r="R106" t="str">
            <v>Scooter Adv.</v>
          </cell>
          <cell r="T106" t="str">
            <v>Income</v>
          </cell>
          <cell r="U106" t="str">
            <v>PLI</v>
          </cell>
          <cell r="V106" t="str">
            <v>HRR</v>
          </cell>
          <cell r="W106" t="str">
            <v>Prof.</v>
          </cell>
          <cell r="X106" t="str">
            <v>Co-ope-</v>
          </cell>
          <cell r="Y106" t="str">
            <v>Other</v>
          </cell>
          <cell r="AA106" t="str">
            <v>Payable</v>
          </cell>
        </row>
        <row r="107">
          <cell r="C107" t="str">
            <v>Dearness pay</v>
          </cell>
          <cell r="F107" t="str">
            <v>DA  Arr.</v>
          </cell>
          <cell r="I107" t="str">
            <v>allow</v>
          </cell>
          <cell r="J107" t="str">
            <v>+ FA)</v>
          </cell>
          <cell r="P107" t="str">
            <v>Account</v>
          </cell>
          <cell r="Q107" t="str">
            <v>GPF Monthly</v>
          </cell>
          <cell r="R107" t="str">
            <v>Other Vech. Adv.</v>
          </cell>
          <cell r="T107" t="str">
            <v>Tax</v>
          </cell>
          <cell r="U107" t="str">
            <v>MSLI</v>
          </cell>
          <cell r="V107" t="str">
            <v xml:space="preserve">SC </v>
          </cell>
          <cell r="W107" t="str">
            <v>Tax</v>
          </cell>
          <cell r="X107" t="str">
            <v>rative</v>
          </cell>
          <cell r="Y107" t="str">
            <v>Ded.</v>
          </cell>
        </row>
        <row r="108">
          <cell r="P108" t="str">
            <v>No.</v>
          </cell>
          <cell r="Q108" t="str">
            <v>DATED</v>
          </cell>
          <cell r="R108" t="str">
            <v>Other Adv.</v>
          </cell>
          <cell r="S108" t="str">
            <v xml:space="preserve">Other </v>
          </cell>
          <cell r="U108" t="str">
            <v>CGIS</v>
          </cell>
          <cell r="V108" t="str">
            <v>HRA</v>
          </cell>
          <cell r="W108" t="str">
            <v>Amount</v>
          </cell>
          <cell r="X108" t="str">
            <v>HSL</v>
          </cell>
        </row>
        <row r="109">
          <cell r="Q109" t="str">
            <v>merge GFP</v>
          </cell>
          <cell r="R109" t="str">
            <v>Cloth Adv.</v>
          </cell>
          <cell r="S109" t="str">
            <v>Recv.</v>
          </cell>
          <cell r="U109" t="str">
            <v>GIS</v>
          </cell>
          <cell r="V109" t="str">
            <v>ARR</v>
          </cell>
          <cell r="X109" t="str">
            <v>Recv.</v>
          </cell>
        </row>
        <row r="110">
          <cell r="Q110" t="str">
            <v>INST</v>
          </cell>
          <cell r="R110" t="str">
            <v>Comp. Adv.</v>
          </cell>
          <cell r="U110" t="str">
            <v>GISARR</v>
          </cell>
        </row>
        <row r="111">
          <cell r="B111">
            <v>2</v>
          </cell>
          <cell r="C111">
            <v>3</v>
          </cell>
          <cell r="D111">
            <v>4</v>
          </cell>
          <cell r="E111">
            <v>5</v>
          </cell>
          <cell r="F111">
            <v>6</v>
          </cell>
          <cell r="G111">
            <v>7</v>
          </cell>
          <cell r="H111">
            <v>8</v>
          </cell>
          <cell r="I111">
            <v>9</v>
          </cell>
          <cell r="J111">
            <v>10</v>
          </cell>
          <cell r="K111">
            <v>11</v>
          </cell>
          <cell r="L111">
            <v>12</v>
          </cell>
          <cell r="O111">
            <v>13</v>
          </cell>
          <cell r="P111" t="str">
            <v>14a</v>
          </cell>
          <cell r="Q111" t="str">
            <v>14 b</v>
          </cell>
          <cell r="R111">
            <v>15</v>
          </cell>
          <cell r="S111">
            <v>16</v>
          </cell>
          <cell r="T111">
            <v>17</v>
          </cell>
          <cell r="U111">
            <v>18</v>
          </cell>
          <cell r="V111">
            <v>19</v>
          </cell>
          <cell r="W111">
            <v>20</v>
          </cell>
          <cell r="X111">
            <v>21</v>
          </cell>
          <cell r="Y111">
            <v>22</v>
          </cell>
          <cell r="Z111">
            <v>23</v>
          </cell>
          <cell r="AA111">
            <v>24</v>
          </cell>
          <cell r="AB111">
            <v>25</v>
          </cell>
        </row>
        <row r="113">
          <cell r="B113" t="str">
            <v>Three Permanent Post of Sr.Clerk Sanctioned vide G.R.No.WBP-1099/C.No.</v>
          </cell>
          <cell r="O113" t="str">
            <v xml:space="preserve"> New No. BR/BN 49689 of G.P.F. subscription alloted by A.G.II. Nagpur in the month 9/2001</v>
          </cell>
        </row>
        <row r="114">
          <cell r="B114" t="str">
            <v>152/Divisional Officeses/WB. Mantralay Mumbai.Date  21/10/1999</v>
          </cell>
          <cell r="O114" t="str">
            <v>Rs. 500/- Regular subscription and Rs. 500/- back recovery of subscription from 1/2001 = 1/9</v>
          </cell>
        </row>
        <row r="115">
          <cell r="B115" t="str">
            <v xml:space="preserve"> Pay Scale Rs.4000-100-6000 /-</v>
          </cell>
        </row>
        <row r="117">
          <cell r="B117" t="str">
            <v>Shri  S.B.</v>
          </cell>
          <cell r="E117">
            <v>4100</v>
          </cell>
          <cell r="F117">
            <v>1558</v>
          </cell>
          <cell r="G117" t="str">
            <v>-</v>
          </cell>
          <cell r="H117">
            <v>308</v>
          </cell>
          <cell r="I117" t="str">
            <v xml:space="preserve"> -</v>
          </cell>
          <cell r="J117">
            <v>6041</v>
          </cell>
          <cell r="L117">
            <v>6041</v>
          </cell>
          <cell r="O117" t="str">
            <v>BR/BN-49689</v>
          </cell>
          <cell r="Q117">
            <v>500</v>
          </cell>
          <cell r="R117" t="str">
            <v>-</v>
          </cell>
          <cell r="S117" t="str">
            <v>-</v>
          </cell>
          <cell r="T117" t="str">
            <v>-</v>
          </cell>
          <cell r="U117">
            <v>30</v>
          </cell>
          <cell r="V117" t="str">
            <v xml:space="preserve"> -</v>
          </cell>
          <cell r="W117">
            <v>175</v>
          </cell>
          <cell r="X117" t="str">
            <v>-</v>
          </cell>
          <cell r="Y117" t="str">
            <v>-</v>
          </cell>
          <cell r="Z117">
            <v>1205</v>
          </cell>
          <cell r="AA117">
            <v>4836</v>
          </cell>
        </row>
        <row r="118">
          <cell r="B118" t="str">
            <v>Shengolkar</v>
          </cell>
          <cell r="I118">
            <v>75</v>
          </cell>
          <cell r="J118">
            <v>150</v>
          </cell>
          <cell r="Q118">
            <v>500</v>
          </cell>
        </row>
        <row r="121">
          <cell r="B121" t="str">
            <v xml:space="preserve">Shri. R.G.   </v>
          </cell>
          <cell r="E121">
            <v>5600</v>
          </cell>
          <cell r="F121">
            <v>2128</v>
          </cell>
          <cell r="G121" t="str">
            <v>-</v>
          </cell>
          <cell r="H121">
            <v>420</v>
          </cell>
          <cell r="I121" t="str">
            <v xml:space="preserve"> -</v>
          </cell>
          <cell r="J121">
            <v>8223</v>
          </cell>
          <cell r="L121">
            <v>8223</v>
          </cell>
          <cell r="O121" t="str">
            <v>BR/BN-12228</v>
          </cell>
          <cell r="Q121">
            <v>1500</v>
          </cell>
          <cell r="R121" t="str">
            <v>-</v>
          </cell>
          <cell r="S121">
            <v>336</v>
          </cell>
          <cell r="U121">
            <v>30</v>
          </cell>
          <cell r="V121" t="str">
            <v xml:space="preserve"> -</v>
          </cell>
          <cell r="W121">
            <v>175</v>
          </cell>
          <cell r="X121" t="str">
            <v>-</v>
          </cell>
          <cell r="Y121" t="str">
            <v>-</v>
          </cell>
          <cell r="Z121">
            <v>2041</v>
          </cell>
          <cell r="AA121">
            <v>6182</v>
          </cell>
        </row>
        <row r="122">
          <cell r="B122" t="str">
            <v>Khan</v>
          </cell>
          <cell r="I122">
            <v>75</v>
          </cell>
          <cell r="J122">
            <v>150</v>
          </cell>
          <cell r="Q122" t="str">
            <v xml:space="preserve"> -</v>
          </cell>
        </row>
        <row r="125">
          <cell r="B125" t="str">
            <v>Shri.   P.G.</v>
          </cell>
          <cell r="E125">
            <v>6000</v>
          </cell>
          <cell r="F125">
            <v>2280</v>
          </cell>
          <cell r="G125" t="str">
            <v>-</v>
          </cell>
          <cell r="H125">
            <v>450</v>
          </cell>
          <cell r="I125" t="str">
            <v xml:space="preserve"> -</v>
          </cell>
          <cell r="J125">
            <v>8805</v>
          </cell>
          <cell r="L125">
            <v>8805</v>
          </cell>
          <cell r="O125" t="str">
            <v>BR/BN-11448</v>
          </cell>
          <cell r="Q125">
            <v>1000</v>
          </cell>
          <cell r="R125">
            <v>750</v>
          </cell>
          <cell r="S125" t="str">
            <v>-</v>
          </cell>
          <cell r="U125">
            <v>30</v>
          </cell>
          <cell r="V125" t="str">
            <v xml:space="preserve"> -</v>
          </cell>
          <cell r="W125">
            <v>175</v>
          </cell>
          <cell r="X125" t="str">
            <v>-</v>
          </cell>
          <cell r="Y125" t="str">
            <v>-</v>
          </cell>
          <cell r="Z125">
            <v>3955</v>
          </cell>
          <cell r="AA125">
            <v>4850</v>
          </cell>
        </row>
        <row r="126">
          <cell r="B126" t="str">
            <v>Kursade</v>
          </cell>
          <cell r="I126">
            <v>75</v>
          </cell>
          <cell r="Q126">
            <v>2000</v>
          </cell>
        </row>
        <row r="130">
          <cell r="B130" t="str">
            <v>Total of Sr.Clerk</v>
          </cell>
          <cell r="D130" t="str">
            <v>-</v>
          </cell>
          <cell r="E130">
            <v>15700</v>
          </cell>
          <cell r="F130">
            <v>5966</v>
          </cell>
          <cell r="G130" t="str">
            <v>-</v>
          </cell>
          <cell r="H130">
            <v>1178</v>
          </cell>
          <cell r="I130" t="str">
            <v>-</v>
          </cell>
          <cell r="J130">
            <v>23069</v>
          </cell>
          <cell r="K130" t="str">
            <v>-</v>
          </cell>
          <cell r="L130">
            <v>23069</v>
          </cell>
          <cell r="Q130">
            <v>3000</v>
          </cell>
          <cell r="R130">
            <v>750</v>
          </cell>
          <cell r="S130">
            <v>336</v>
          </cell>
          <cell r="T130" t="str">
            <v>-</v>
          </cell>
          <cell r="U130">
            <v>90</v>
          </cell>
          <cell r="V130" t="str">
            <v>-</v>
          </cell>
          <cell r="W130">
            <v>525</v>
          </cell>
          <cell r="X130" t="str">
            <v>-</v>
          </cell>
          <cell r="Y130" t="str">
            <v>-</v>
          </cell>
          <cell r="Z130">
            <v>7201</v>
          </cell>
          <cell r="AA130">
            <v>15868</v>
          </cell>
        </row>
        <row r="131">
          <cell r="I131">
            <v>225</v>
          </cell>
          <cell r="J131" t="str">
            <v>-</v>
          </cell>
          <cell r="Q131">
            <v>2500</v>
          </cell>
          <cell r="R131" t="str">
            <v>-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</row>
        <row r="132">
          <cell r="J132">
            <v>23069</v>
          </cell>
        </row>
        <row r="137">
          <cell r="B137" t="str">
            <v>One Permanent Post of Jr.Clerk Sanctioned vide G.R.No.WBP-1099/C.No. 152/</v>
          </cell>
        </row>
        <row r="138">
          <cell r="B138" t="str">
            <v>Divisional Officeses/WB. Mantralay  Mumbai .Date   21/10/1999</v>
          </cell>
        </row>
        <row r="139">
          <cell r="B139" t="str">
            <v>scale of pay Rs.3050-75-3950-80-4590/-</v>
          </cell>
        </row>
        <row r="140">
          <cell r="B140" t="str">
            <v xml:space="preserve"> Pay Scale Rs.3050-75-3950-80-4590 /-</v>
          </cell>
        </row>
        <row r="142">
          <cell r="B142" t="str">
            <v>Shri. P.M.Puri</v>
          </cell>
          <cell r="D142" t="str">
            <v>-</v>
          </cell>
          <cell r="E142">
            <v>3500</v>
          </cell>
          <cell r="F142">
            <v>1330</v>
          </cell>
          <cell r="G142" t="str">
            <v>-</v>
          </cell>
          <cell r="H142">
            <v>263</v>
          </cell>
          <cell r="I142" t="str">
            <v>-</v>
          </cell>
          <cell r="J142">
            <v>5168</v>
          </cell>
          <cell r="L142">
            <v>5168</v>
          </cell>
          <cell r="O142" t="str">
            <v>BR/BN-46715</v>
          </cell>
          <cell r="Q142">
            <v>500</v>
          </cell>
          <cell r="R142" t="str">
            <v>-</v>
          </cell>
          <cell r="S142" t="str">
            <v>-</v>
          </cell>
          <cell r="T142" t="str">
            <v>-</v>
          </cell>
          <cell r="U142">
            <v>30</v>
          </cell>
          <cell r="W142">
            <v>175</v>
          </cell>
          <cell r="X142" t="str">
            <v>-</v>
          </cell>
          <cell r="Y142" t="str">
            <v>-</v>
          </cell>
          <cell r="Z142">
            <v>1855</v>
          </cell>
          <cell r="AA142">
            <v>3313</v>
          </cell>
        </row>
        <row r="143">
          <cell r="B143" t="str">
            <v xml:space="preserve"> </v>
          </cell>
          <cell r="I143">
            <v>75</v>
          </cell>
          <cell r="J143">
            <v>150</v>
          </cell>
          <cell r="Q143">
            <v>1150</v>
          </cell>
        </row>
        <row r="145">
          <cell r="B145" t="str">
            <v/>
          </cell>
        </row>
        <row r="146">
          <cell r="B146" t="str">
            <v>Total of Jr.Clerk</v>
          </cell>
          <cell r="C146" t="str">
            <v>-</v>
          </cell>
          <cell r="D146" t="str">
            <v>-</v>
          </cell>
          <cell r="E146">
            <v>3500</v>
          </cell>
          <cell r="F146">
            <v>1330</v>
          </cell>
          <cell r="G146" t="str">
            <v>-</v>
          </cell>
          <cell r="H146">
            <v>263</v>
          </cell>
          <cell r="I146">
            <v>75</v>
          </cell>
          <cell r="J146">
            <v>5168</v>
          </cell>
          <cell r="K146" t="str">
            <v>-</v>
          </cell>
          <cell r="L146">
            <v>5168</v>
          </cell>
          <cell r="Q146">
            <v>500</v>
          </cell>
          <cell r="R146" t="str">
            <v>-</v>
          </cell>
          <cell r="S146" t="str">
            <v>-</v>
          </cell>
          <cell r="T146" t="str">
            <v>-</v>
          </cell>
          <cell r="U146">
            <v>30</v>
          </cell>
          <cell r="V146" t="str">
            <v>-</v>
          </cell>
          <cell r="W146">
            <v>175</v>
          </cell>
          <cell r="X146" t="str">
            <v>-</v>
          </cell>
          <cell r="Y146" t="str">
            <v>-</v>
          </cell>
          <cell r="Z146">
            <v>1855</v>
          </cell>
          <cell r="AA146">
            <v>3313</v>
          </cell>
        </row>
        <row r="147">
          <cell r="J147">
            <v>0</v>
          </cell>
          <cell r="Q147">
            <v>1150</v>
          </cell>
        </row>
        <row r="148">
          <cell r="J148">
            <v>5168</v>
          </cell>
          <cell r="K148" t="str">
            <v>-</v>
          </cell>
        </row>
        <row r="162">
          <cell r="C162" t="str">
            <v xml:space="preserve">Appointed as computer clark on contract basis for the period from </v>
          </cell>
        </row>
        <row r="163">
          <cell r="B163" t="str">
            <v>R.M.Pasarkar</v>
          </cell>
          <cell r="C163" t="str">
            <v>Date 08/10/2001 to 04/04/2002</v>
          </cell>
          <cell r="K163">
            <v>3097</v>
          </cell>
          <cell r="L163">
            <v>3097</v>
          </cell>
          <cell r="O163" t="str">
            <v>-</v>
          </cell>
          <cell r="P163" t="str">
            <v>-</v>
          </cell>
          <cell r="Q163" t="str">
            <v>-</v>
          </cell>
          <cell r="R163" t="str">
            <v>-</v>
          </cell>
          <cell r="S163" t="str">
            <v>-</v>
          </cell>
          <cell r="T163" t="str">
            <v>-</v>
          </cell>
          <cell r="U163" t="str">
            <v>-</v>
          </cell>
          <cell r="V163" t="str">
            <v>-</v>
          </cell>
          <cell r="W163">
            <v>60</v>
          </cell>
          <cell r="X163" t="str">
            <v>-</v>
          </cell>
          <cell r="Y163" t="str">
            <v>-</v>
          </cell>
          <cell r="Z163">
            <v>60</v>
          </cell>
          <cell r="AA163">
            <v>3037</v>
          </cell>
        </row>
        <row r="164">
          <cell r="C164" t="str">
            <v>24 x 4000 / 31 = 3097</v>
          </cell>
        </row>
        <row r="165">
          <cell r="B165" t="str">
            <v>Total of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>
            <v>3097</v>
          </cell>
          <cell r="L165">
            <v>3097</v>
          </cell>
          <cell r="O165" t="str">
            <v>-</v>
          </cell>
          <cell r="P165" t="str">
            <v>-</v>
          </cell>
          <cell r="Q165" t="str">
            <v>-</v>
          </cell>
          <cell r="R165" t="str">
            <v>-</v>
          </cell>
          <cell r="S165" t="str">
            <v>-</v>
          </cell>
          <cell r="T165" t="str">
            <v>-</v>
          </cell>
          <cell r="U165" t="str">
            <v>-</v>
          </cell>
          <cell r="V165" t="str">
            <v>-</v>
          </cell>
          <cell r="W165">
            <v>60</v>
          </cell>
          <cell r="X165" t="str">
            <v>-</v>
          </cell>
          <cell r="Y165" t="str">
            <v>-</v>
          </cell>
          <cell r="Z165">
            <v>60</v>
          </cell>
          <cell r="AA165">
            <v>3037</v>
          </cell>
        </row>
        <row r="166">
          <cell r="B166" t="str">
            <v>Com.Clerk</v>
          </cell>
        </row>
        <row r="173">
          <cell r="B173" t="str">
            <v>V.S.Namade</v>
          </cell>
          <cell r="C173" t="str">
            <v xml:space="preserve">Appointed as peon on contract basis for the period from </v>
          </cell>
          <cell r="K173">
            <v>3000</v>
          </cell>
          <cell r="L173">
            <v>3000</v>
          </cell>
          <cell r="R173" t="str">
            <v>-</v>
          </cell>
          <cell r="S173" t="str">
            <v>-</v>
          </cell>
          <cell r="T173" t="str">
            <v>-</v>
          </cell>
          <cell r="U173" t="str">
            <v>-</v>
          </cell>
          <cell r="W173">
            <v>60</v>
          </cell>
          <cell r="X173" t="str">
            <v>-</v>
          </cell>
          <cell r="Y173" t="str">
            <v>-</v>
          </cell>
          <cell r="Z173">
            <v>60</v>
          </cell>
          <cell r="AA173">
            <v>2940</v>
          </cell>
        </row>
        <row r="174">
          <cell r="C174" t="str">
            <v>Date 25/6/2001 to 20/12/2001</v>
          </cell>
        </row>
        <row r="178">
          <cell r="B178" t="str">
            <v>S.P.Talokar</v>
          </cell>
          <cell r="C178" t="str">
            <v xml:space="preserve">Appointed as peon on contract basis for the period from </v>
          </cell>
          <cell r="K178">
            <v>3000</v>
          </cell>
          <cell r="L178">
            <v>3000</v>
          </cell>
          <cell r="R178" t="str">
            <v>-</v>
          </cell>
          <cell r="S178" t="str">
            <v>-</v>
          </cell>
          <cell r="T178" t="str">
            <v>-</v>
          </cell>
          <cell r="U178" t="str">
            <v xml:space="preserve"> -</v>
          </cell>
          <cell r="W178">
            <v>60</v>
          </cell>
          <cell r="X178" t="str">
            <v>-</v>
          </cell>
          <cell r="Y178" t="str">
            <v>-</v>
          </cell>
          <cell r="Z178">
            <v>60</v>
          </cell>
          <cell r="AA178">
            <v>2940</v>
          </cell>
        </row>
        <row r="179">
          <cell r="C179" t="str">
            <v>Date 20/6/2001 to 5150/12/2001</v>
          </cell>
        </row>
        <row r="183">
          <cell r="B183" t="str">
            <v>S.M.Sarode</v>
          </cell>
          <cell r="C183" t="str">
            <v xml:space="preserve">Appointed as surkhsha karmachari on contract basis for the period  </v>
          </cell>
          <cell r="K183">
            <v>3000</v>
          </cell>
          <cell r="L183">
            <v>3000</v>
          </cell>
          <cell r="R183" t="str">
            <v>-</v>
          </cell>
          <cell r="S183" t="str">
            <v>-</v>
          </cell>
          <cell r="T183" t="str">
            <v>-</v>
          </cell>
          <cell r="U183" t="str">
            <v>-</v>
          </cell>
          <cell r="W183">
            <v>60</v>
          </cell>
          <cell r="X183" t="str">
            <v>-</v>
          </cell>
          <cell r="Y183" t="str">
            <v>-</v>
          </cell>
          <cell r="Z183">
            <v>60</v>
          </cell>
          <cell r="AA183">
            <v>2940</v>
          </cell>
        </row>
        <row r="184">
          <cell r="C184" t="str">
            <v>Date 15/6/2001 to 10/12/2001</v>
          </cell>
        </row>
        <row r="188">
          <cell r="B188" t="str">
            <v>D.U.Kadam</v>
          </cell>
          <cell r="C188" t="str">
            <v xml:space="preserve">Appointed as peon on contract basis for the period from </v>
          </cell>
          <cell r="K188">
            <v>3000</v>
          </cell>
          <cell r="L188">
            <v>3000</v>
          </cell>
          <cell r="R188" t="str">
            <v>-</v>
          </cell>
          <cell r="S188" t="str">
            <v>-</v>
          </cell>
          <cell r="T188" t="str">
            <v>-</v>
          </cell>
          <cell r="U188" t="str">
            <v xml:space="preserve"> -</v>
          </cell>
          <cell r="W188">
            <v>60</v>
          </cell>
          <cell r="X188" t="str">
            <v>-</v>
          </cell>
          <cell r="Y188" t="str">
            <v>-</v>
          </cell>
          <cell r="Z188">
            <v>60</v>
          </cell>
          <cell r="AA188">
            <v>2940</v>
          </cell>
        </row>
        <row r="189">
          <cell r="C189" t="str">
            <v>Date 11/09/2001 to 08/03/2002</v>
          </cell>
        </row>
        <row r="191">
          <cell r="B191" t="str">
            <v>Total of Peon</v>
          </cell>
          <cell r="E191" t="str">
            <v>-</v>
          </cell>
          <cell r="F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>
            <v>12000</v>
          </cell>
          <cell r="L191">
            <v>12000</v>
          </cell>
          <cell r="Q191" t="str">
            <v>-</v>
          </cell>
          <cell r="R191" t="str">
            <v>-</v>
          </cell>
          <cell r="S191" t="str">
            <v>-</v>
          </cell>
          <cell r="T191" t="str">
            <v>-</v>
          </cell>
          <cell r="U191" t="str">
            <v>-</v>
          </cell>
          <cell r="V191" t="str">
            <v>-</v>
          </cell>
          <cell r="W191">
            <v>240</v>
          </cell>
          <cell r="X191" t="str">
            <v>-</v>
          </cell>
          <cell r="Y191" t="str">
            <v>-</v>
          </cell>
          <cell r="Z191">
            <v>240</v>
          </cell>
          <cell r="AA191">
            <v>11760</v>
          </cell>
        </row>
        <row r="193">
          <cell r="L193" t="str">
            <v>[1]</v>
          </cell>
          <cell r="AB193" t="str">
            <v>[2]</v>
          </cell>
        </row>
        <row r="198">
          <cell r="F198">
            <v>1900</v>
          </cell>
        </row>
        <row r="205">
          <cell r="O205" t="str">
            <v>ABSTRACT</v>
          </cell>
        </row>
        <row r="208">
          <cell r="B208" t="str">
            <v xml:space="preserve">Total of </v>
          </cell>
          <cell r="C208" t="str">
            <v>-</v>
          </cell>
          <cell r="D208" t="str">
            <v>-</v>
          </cell>
          <cell r="E208">
            <v>15700</v>
          </cell>
          <cell r="F208">
            <v>5966</v>
          </cell>
          <cell r="G208" t="str">
            <v>-</v>
          </cell>
          <cell r="H208">
            <v>1178</v>
          </cell>
          <cell r="I208" t="str">
            <v>-</v>
          </cell>
          <cell r="J208">
            <v>23069</v>
          </cell>
          <cell r="L208">
            <v>23069</v>
          </cell>
          <cell r="Q208">
            <v>3000</v>
          </cell>
          <cell r="R208">
            <v>750</v>
          </cell>
          <cell r="S208">
            <v>336</v>
          </cell>
          <cell r="T208" t="str">
            <v>-</v>
          </cell>
          <cell r="U208">
            <v>90</v>
          </cell>
          <cell r="V208" t="str">
            <v>-</v>
          </cell>
          <cell r="W208">
            <v>525</v>
          </cell>
          <cell r="X208" t="str">
            <v>-</v>
          </cell>
          <cell r="Y208" t="str">
            <v>-</v>
          </cell>
          <cell r="Z208">
            <v>7201</v>
          </cell>
          <cell r="AA208">
            <v>15868</v>
          </cell>
        </row>
        <row r="209">
          <cell r="B209" t="str">
            <v>Senior Clark</v>
          </cell>
          <cell r="I209">
            <v>225</v>
          </cell>
          <cell r="J209" t="str">
            <v>-</v>
          </cell>
          <cell r="Q209">
            <v>2500</v>
          </cell>
          <cell r="R209" t="str">
            <v>-</v>
          </cell>
          <cell r="S209" t="str">
            <v>-</v>
          </cell>
          <cell r="T209" t="str">
            <v>-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Y209" t="str">
            <v>-</v>
          </cell>
        </row>
        <row r="210">
          <cell r="J210">
            <v>23069</v>
          </cell>
        </row>
        <row r="212">
          <cell r="B212" t="str">
            <v>Total of</v>
          </cell>
          <cell r="C212" t="str">
            <v>-</v>
          </cell>
          <cell r="D212" t="str">
            <v>-</v>
          </cell>
          <cell r="E212">
            <v>3500</v>
          </cell>
          <cell r="F212">
            <v>1330</v>
          </cell>
          <cell r="G212" t="str">
            <v>-</v>
          </cell>
          <cell r="H212">
            <v>263</v>
          </cell>
          <cell r="J212">
            <v>5168</v>
          </cell>
          <cell r="L212">
            <v>5168</v>
          </cell>
          <cell r="Q212">
            <v>500</v>
          </cell>
          <cell r="R212" t="str">
            <v>-</v>
          </cell>
          <cell r="S212" t="str">
            <v>-</v>
          </cell>
          <cell r="T212" t="str">
            <v>-</v>
          </cell>
          <cell r="U212">
            <v>30</v>
          </cell>
          <cell r="V212" t="str">
            <v>-</v>
          </cell>
          <cell r="W212">
            <v>175</v>
          </cell>
          <cell r="X212" t="str">
            <v>-</v>
          </cell>
          <cell r="Y212" t="str">
            <v>-</v>
          </cell>
          <cell r="Z212">
            <v>1855</v>
          </cell>
          <cell r="AA212">
            <v>3313</v>
          </cell>
        </row>
        <row r="213">
          <cell r="B213" t="str">
            <v>Junior Clark</v>
          </cell>
          <cell r="I213">
            <v>75</v>
          </cell>
          <cell r="J213">
            <v>0</v>
          </cell>
          <cell r="Q213">
            <v>1150</v>
          </cell>
          <cell r="R213" t="str">
            <v>-</v>
          </cell>
          <cell r="S213" t="str">
            <v>-</v>
          </cell>
          <cell r="T213" t="str">
            <v>-</v>
          </cell>
          <cell r="U213" t="str">
            <v>-</v>
          </cell>
          <cell r="V213" t="str">
            <v>-</v>
          </cell>
          <cell r="W213" t="str">
            <v>-</v>
          </cell>
          <cell r="X213" t="str">
            <v>-</v>
          </cell>
          <cell r="Y213" t="str">
            <v>-</v>
          </cell>
        </row>
        <row r="214">
          <cell r="J214">
            <v>5168</v>
          </cell>
        </row>
        <row r="215">
          <cell r="Q215" t="str">
            <v>-</v>
          </cell>
          <cell r="R215" t="str">
            <v>-</v>
          </cell>
          <cell r="S215" t="str">
            <v>-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Y215" t="str">
            <v>-</v>
          </cell>
        </row>
        <row r="216">
          <cell r="B216" t="str">
            <v>Total of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K216">
            <v>3097</v>
          </cell>
          <cell r="L216">
            <v>3097</v>
          </cell>
          <cell r="N216" t="str">
            <v>-</v>
          </cell>
          <cell r="O216" t="str">
            <v>-</v>
          </cell>
          <cell r="P216" t="str">
            <v>-</v>
          </cell>
          <cell r="Q216" t="str">
            <v>-</v>
          </cell>
          <cell r="R216" t="str">
            <v>-</v>
          </cell>
          <cell r="S216" t="str">
            <v>-</v>
          </cell>
          <cell r="T216" t="str">
            <v>-</v>
          </cell>
          <cell r="U216" t="str">
            <v>-</v>
          </cell>
          <cell r="V216" t="str">
            <v>-</v>
          </cell>
          <cell r="W216">
            <v>60</v>
          </cell>
          <cell r="X216" t="str">
            <v>-</v>
          </cell>
          <cell r="Y216" t="str">
            <v>-</v>
          </cell>
          <cell r="Z216">
            <v>60</v>
          </cell>
          <cell r="AA216">
            <v>3037</v>
          </cell>
        </row>
        <row r="217">
          <cell r="B217" t="str">
            <v>Com.Clerk</v>
          </cell>
        </row>
        <row r="221">
          <cell r="B221" t="str">
            <v>Total of Peon</v>
          </cell>
          <cell r="K221">
            <v>12000</v>
          </cell>
          <cell r="L221">
            <v>12000</v>
          </cell>
          <cell r="Q221" t="str">
            <v>-</v>
          </cell>
          <cell r="R221" t="str">
            <v>-</v>
          </cell>
          <cell r="S221" t="str">
            <v>-</v>
          </cell>
          <cell r="T221" t="str">
            <v>-</v>
          </cell>
          <cell r="U221" t="str">
            <v>-</v>
          </cell>
          <cell r="V221" t="str">
            <v>-</v>
          </cell>
          <cell r="W221">
            <v>240</v>
          </cell>
          <cell r="X221" t="str">
            <v>-</v>
          </cell>
          <cell r="Y221" t="str">
            <v>-</v>
          </cell>
          <cell r="Z221">
            <v>240</v>
          </cell>
          <cell r="AA221">
            <v>11760</v>
          </cell>
        </row>
        <row r="224">
          <cell r="B224" t="str">
            <v>GRAND</v>
          </cell>
          <cell r="C224" t="str">
            <v>-</v>
          </cell>
          <cell r="E224">
            <v>19200</v>
          </cell>
          <cell r="F224">
            <v>7296</v>
          </cell>
          <cell r="G224">
            <v>0</v>
          </cell>
          <cell r="H224">
            <v>1441</v>
          </cell>
          <cell r="I224">
            <v>300</v>
          </cell>
          <cell r="J224">
            <v>28237</v>
          </cell>
          <cell r="K224">
            <v>15097</v>
          </cell>
          <cell r="L224">
            <v>43334</v>
          </cell>
          <cell r="Q224">
            <v>7150</v>
          </cell>
          <cell r="R224">
            <v>750</v>
          </cell>
          <cell r="S224">
            <v>336</v>
          </cell>
          <cell r="T224">
            <v>0</v>
          </cell>
          <cell r="U224">
            <v>120</v>
          </cell>
          <cell r="V224">
            <v>0</v>
          </cell>
          <cell r="W224">
            <v>1000</v>
          </cell>
          <cell r="X224">
            <v>0</v>
          </cell>
          <cell r="Y224">
            <v>0</v>
          </cell>
          <cell r="Z224">
            <v>9356</v>
          </cell>
          <cell r="AA224">
            <v>33978</v>
          </cell>
        </row>
        <row r="225">
          <cell r="B225" t="str">
            <v xml:space="preserve">TOTAL </v>
          </cell>
          <cell r="J225">
            <v>0</v>
          </cell>
          <cell r="M225">
            <v>33978</v>
          </cell>
        </row>
        <row r="226">
          <cell r="J226">
            <v>28237</v>
          </cell>
          <cell r="M226">
            <v>9356</v>
          </cell>
        </row>
        <row r="227">
          <cell r="M227">
            <v>43334</v>
          </cell>
        </row>
        <row r="228">
          <cell r="O228" t="str">
            <v>Passed for Rs.</v>
          </cell>
          <cell r="Q228">
            <v>33978</v>
          </cell>
          <cell r="R228" t="str">
            <v>Rs. Thirty three thousand nine hundred seventy eight only</v>
          </cell>
        </row>
        <row r="229">
          <cell r="Y229" t="str">
            <v xml:space="preserve"> </v>
          </cell>
        </row>
        <row r="230">
          <cell r="O230">
            <v>1</v>
          </cell>
          <cell r="P230" t="str">
            <v>izekf.kr dj.;kr ;srs dh] lnj ns;dkrhy vadxf.krh; lax.kuk iMrkG.kh dsyh</v>
          </cell>
        </row>
        <row r="231">
          <cell r="P231" t="str">
            <v>vlrk rh cjkscj vlY;kps vk&lt;Gyss-</v>
          </cell>
        </row>
        <row r="232">
          <cell r="O232">
            <v>2</v>
          </cell>
          <cell r="P232" t="str">
            <v>izekf.kr dj.;kr ;srs dh] lnj ns;dkrhy T;k deZpk`;kps fuoklLFAku rs</v>
          </cell>
        </row>
        <row r="233">
          <cell r="P233" t="str">
            <v>dk;kZy;kps varj 1 fd-eh- is{kk tkLr vkgs v'kkap deZpk`;kauk okgrwd HARrk</v>
          </cell>
        </row>
        <row r="234">
          <cell r="O234" t="str">
            <v xml:space="preserve">       </v>
          </cell>
          <cell r="P234" t="str">
            <v>fnysyk vkgs-</v>
          </cell>
        </row>
        <row r="235">
          <cell r="J235">
            <v>28237</v>
          </cell>
        </row>
        <row r="238">
          <cell r="U238" t="str">
            <v>Sub Divisional Officer,</v>
          </cell>
        </row>
        <row r="239">
          <cell r="L239" t="str">
            <v>[3]</v>
          </cell>
          <cell r="U239" t="str">
            <v>Maharashtra Health System Development Project</v>
          </cell>
        </row>
        <row r="240">
          <cell r="U240" t="str">
            <v>Engineering Division,</v>
          </cell>
        </row>
        <row r="241">
          <cell r="P241" t="str">
            <v xml:space="preserve">  </v>
          </cell>
          <cell r="U241" t="str">
            <v>Akola.</v>
          </cell>
        </row>
        <row r="242">
          <cell r="AB242" t="str">
            <v>[4]</v>
          </cell>
        </row>
      </sheetData>
      <sheetData sheetId="2">
        <row r="2">
          <cell r="E2" t="str">
            <v xml:space="preserve">Schedule of Recoveries of festival Advance for the Month of </v>
          </cell>
          <cell r="F2" t="str">
            <v>10/2001 paid in 11/2001</v>
          </cell>
        </row>
        <row r="4">
          <cell r="D4" t="str">
            <v>Major Head of Account in which the pay and allowances of the  incombents are adjusted  2210 Medical &amp; P.H.</v>
          </cell>
        </row>
        <row r="6">
          <cell r="D6" t="str">
            <v>P.W.Direction &amp; Admn</v>
          </cell>
        </row>
        <row r="8">
          <cell r="B8" t="str">
            <v>No.&amp; Date of the</v>
          </cell>
          <cell r="C8" t="str">
            <v xml:space="preserve">Designation of the </v>
          </cell>
          <cell r="D8" t="str">
            <v>Amount of advance out-</v>
          </cell>
          <cell r="E8" t="str">
            <v>Amount</v>
          </cell>
          <cell r="F8" t="str">
            <v>Amount of Adv.</v>
          </cell>
          <cell r="G8" t="str">
            <v>Remarks</v>
          </cell>
        </row>
        <row r="9">
          <cell r="B9" t="str">
            <v>Try.Vr.in which</v>
          </cell>
          <cell r="C9" t="str">
            <v>Drawing officers</v>
          </cell>
          <cell r="D9" t="str">
            <v xml:space="preserve">standing to the end of </v>
          </cell>
          <cell r="E9" t="str">
            <v>of advance</v>
          </cell>
          <cell r="F9" t="str">
            <v>outstanding as</v>
          </cell>
        </row>
        <row r="10">
          <cell r="B10" t="str">
            <v>the advance</v>
          </cell>
          <cell r="C10" t="str">
            <v>by whom advn.</v>
          </cell>
          <cell r="D10" t="str">
            <v xml:space="preserve">previous month/at the </v>
          </cell>
          <cell r="E10" t="str">
            <v>Recovered</v>
          </cell>
          <cell r="F10" t="str">
            <v>at the end of the</v>
          </cell>
        </row>
        <row r="11">
          <cell r="B11" t="str">
            <v>has been done</v>
          </cell>
          <cell r="C11" t="str">
            <v>was drawn</v>
          </cell>
          <cell r="D11" t="str">
            <v>commencement of month</v>
          </cell>
          <cell r="F11" t="str">
            <v>month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</row>
        <row r="14">
          <cell r="B14">
            <v>20</v>
          </cell>
          <cell r="C14" t="str">
            <v>Executive Engr.</v>
          </cell>
          <cell r="D14">
            <v>300</v>
          </cell>
          <cell r="E14">
            <v>300</v>
          </cell>
          <cell r="F14">
            <v>0</v>
          </cell>
        </row>
        <row r="15">
          <cell r="B15" t="str">
            <v>25-Oct-2000</v>
          </cell>
          <cell r="C15" t="str">
            <v>MH.S.D.P.AKOLA</v>
          </cell>
        </row>
        <row r="16">
          <cell r="B16" t="str">
            <v>Akola</v>
          </cell>
        </row>
        <row r="17">
          <cell r="B17">
            <v>21</v>
          </cell>
          <cell r="D17">
            <v>150</v>
          </cell>
          <cell r="E17">
            <v>150</v>
          </cell>
          <cell r="F17">
            <v>0</v>
          </cell>
        </row>
        <row r="18">
          <cell r="B18" t="str">
            <v>21-Oct-2000</v>
          </cell>
        </row>
        <row r="19">
          <cell r="D19" t="str">
            <v>Total Rs.</v>
          </cell>
          <cell r="E19">
            <v>450</v>
          </cell>
        </row>
        <row r="20">
          <cell r="D20" t="str">
            <v>Rs.Four Hundread fifty only</v>
          </cell>
        </row>
        <row r="22">
          <cell r="D22" t="str">
            <v>C E R T I F I C A T E</v>
          </cell>
        </row>
        <row r="24">
          <cell r="B24" t="str">
            <v xml:space="preserve">1. Certified that total of recoveries shown in col.No.4 above agree with the amount actually recovered and shown in </v>
          </cell>
        </row>
        <row r="25">
          <cell r="B25" t="str">
            <v xml:space="preserve">     the body of the bill.</v>
          </cell>
        </row>
        <row r="27">
          <cell r="B27" t="str">
            <v>2. Certified that the recoveries effected have duly posted in the register of advances [Form 'A']</v>
          </cell>
        </row>
        <row r="31">
          <cell r="D31" t="str">
            <v>Sub Divisional Officer,</v>
          </cell>
        </row>
        <row r="32">
          <cell r="D32" t="str">
            <v>Maharashtra Health System Development Project,</v>
          </cell>
        </row>
        <row r="33">
          <cell r="D33" t="str">
            <v>Engineering Division,</v>
          </cell>
        </row>
        <row r="34">
          <cell r="D34" t="str">
            <v>Akola.</v>
          </cell>
        </row>
      </sheetData>
      <sheetData sheetId="3">
        <row r="2">
          <cell r="E2" t="str">
            <v>Head of Account:-</v>
          </cell>
          <cell r="H2" t="str">
            <v>8005 - State provident fund</v>
          </cell>
          <cell r="I2" t="str">
            <v>Head of Account:-</v>
          </cell>
          <cell r="L2" t="str">
            <v>8005 - State provident fund</v>
          </cell>
        </row>
        <row r="3">
          <cell r="H3" t="str">
            <v>01     - Civil General Providient Fund</v>
          </cell>
          <cell r="L3" t="str">
            <v>01     - Civil General Providient Fund</v>
          </cell>
        </row>
        <row r="4">
          <cell r="H4" t="str">
            <v>101  - Other than class - IV Employee</v>
          </cell>
          <cell r="L4" t="str">
            <v>101  - Other than class - IV Employee</v>
          </cell>
        </row>
        <row r="5">
          <cell r="J5" t="str">
            <v>Gen. 150 m.</v>
          </cell>
          <cell r="N5" t="str">
            <v>Gen. 150 m.</v>
          </cell>
        </row>
        <row r="6">
          <cell r="E6" t="str">
            <v>uequk eqacbZ dks"kkxkj fu;e 44</v>
          </cell>
        </row>
        <row r="7">
          <cell r="E7" t="str">
            <v>fu;e 543 igk</v>
          </cell>
        </row>
        <row r="8">
          <cell r="B8" t="str">
            <v>loZlk/kkj.k Hkfo";fuokZg fu/kh otkrhph vuqlwph  (egRokP;k lqpuk)</v>
          </cell>
          <cell r="F8" t="str">
            <v>loZlk/kkj.k Hkfo";fuokZg fu/kh otkrhph vuqlwph  (egRokP;k lqpuk)</v>
          </cell>
        </row>
        <row r="9">
          <cell r="E9" t="str">
            <v xml:space="preserve"> 1- ys[kkdzekad vuqdzekus yko.;kr ;kosr-</v>
          </cell>
        </row>
        <row r="10">
          <cell r="E10" t="str">
            <v xml:space="preserve"> 2- th, (lkekU; iz'kklu)] ihlh (iksyhl dsanzh;)] vsts (U;k;nku) oxSjs ekxZn'kZd v{kjs ys[kdzekiwohZ u </v>
          </cell>
        </row>
        <row r="11">
          <cell r="E11" t="str">
            <v xml:space="preserve">     pqdrk fygkohr-  </v>
          </cell>
        </row>
        <row r="12">
          <cell r="E12" t="str">
            <v xml:space="preserve"> 3-  oxZ.kh ns.;kps can &gt;kkY;kl] 'kstk&amp;;kP;k LraHkke/;s *jtsoj xsyk*]*-------------------------------dk;kZy;]</v>
          </cell>
        </row>
        <row r="13">
          <cell r="E13" t="str">
            <v xml:space="preserve">      ----------------------------ftYgk --------------------------------dMs cnyh &gt;kkyh*]*uksdjh lksMyh*]*e=r*</v>
          </cell>
        </row>
        <row r="14">
          <cell r="E14" t="str">
            <v xml:space="preserve">     fdaok *fu;e 10 vUo;s can * ;k izdkjkph dkj.ks |kohr- oxZ.khP;k ;k ijriQsMhP;k jdesr cny dsyk</v>
          </cell>
        </row>
        <row r="15">
          <cell r="E15" t="str">
            <v xml:space="preserve">     vlY;kl R;kcn@ny laf{kIr dkj.k *'ksjk* ;k LraHkkr |kos-  vxzhe /kukojhy O;kt ns.;kr vkys vlY;kl</v>
          </cell>
        </row>
        <row r="16">
          <cell r="E16" t="str">
            <v xml:space="preserve">     R;kpk mYys[k 'ksjk LrHkkar djkok-</v>
          </cell>
        </row>
        <row r="17">
          <cell r="E17" t="str">
            <v xml:space="preserve">    dk;Zdkjh vfHk;ark egkjk"V@ vkjksX; lsok fodkl izdYi foHkkx (vfHk;ak_khdh foHkkx) vdksyk ;kaps dk;kZy;</v>
          </cell>
        </row>
        <row r="18">
          <cell r="E18" t="str">
            <v xml:space="preserve">    (;sFks vkgj.k vf/kdk&amp;;kps inuke o fBdk.k fygkos-)</v>
          </cell>
        </row>
        <row r="19">
          <cell r="B19" t="str">
            <v>ekgs uksOgscj &amp;2001 P;k 1 rkj[ksyk ns; vlysyY;k vkWDVkscj &amp;2001 P;k osrukrqu dsysY;k otkrh-</v>
          </cell>
          <cell r="F19" t="str">
            <v>ekgs vkWxLV &amp;2001 P;k 1 rkj[ksyk ns; vlysyY;k twyS&amp;2001  P;k osrukrqu dsysY;k otkrh-</v>
          </cell>
        </row>
        <row r="20">
          <cell r="B20" t="str">
            <v>gs ys[ks Bso.kk&amp;;k ys[kk vf/kdk&amp;;kps uko %&amp; egkys[kkiky ukxiqj 2-</v>
          </cell>
          <cell r="E20" t="str">
            <v xml:space="preserve">  </v>
          </cell>
          <cell r="F20" t="str">
            <v>gs ys[ks Bso.kk&amp;;k ys[kk vf/kdk&amp;;kps uko %&amp; egkys[kkiky ukxiqj 2-</v>
          </cell>
        </row>
        <row r="21">
          <cell r="B21" t="str">
            <v xml:space="preserve">ys[kk </v>
          </cell>
          <cell r="C21" t="str">
            <v xml:space="preserve">uko </v>
          </cell>
          <cell r="E21" t="str">
            <v>;k efgU;kps</v>
          </cell>
          <cell r="F21" t="str">
            <v xml:space="preserve">ys[kk </v>
          </cell>
          <cell r="G21" t="str">
            <v xml:space="preserve">ekfld </v>
          </cell>
          <cell r="H21" t="str">
            <v xml:space="preserve">dk&lt;ysY;k jdesph </v>
          </cell>
          <cell r="I21" t="str">
            <v>;k efgU;kps</v>
          </cell>
          <cell r="J21" t="str">
            <v>olwy</v>
          </cell>
          <cell r="K21" t="str">
            <v xml:space="preserve">ekfld </v>
          </cell>
          <cell r="L21" t="str">
            <v xml:space="preserve">dk&lt;ysY;k jdesph </v>
          </cell>
          <cell r="N21" t="str">
            <v>olwy</v>
          </cell>
        </row>
        <row r="22">
          <cell r="B22" t="str">
            <v>dzekad</v>
          </cell>
          <cell r="E22" t="str">
            <v xml:space="preserve">osru ok $ o  </v>
          </cell>
          <cell r="F22" t="str">
            <v>dzekad</v>
          </cell>
          <cell r="G22" t="str">
            <v>oxZ.kh</v>
          </cell>
          <cell r="H22" t="str">
            <v>ijriQsM</v>
          </cell>
          <cell r="I22" t="str">
            <v xml:space="preserve">osru ok $ o  </v>
          </cell>
          <cell r="J22" t="str">
            <v xml:space="preserve">&gt;kkysyh </v>
          </cell>
          <cell r="K22" t="str">
            <v xml:space="preserve"> 'ksjk</v>
          </cell>
          <cell r="L22" t="str">
            <v>ijriQsM</v>
          </cell>
          <cell r="N22" t="str">
            <v xml:space="preserve">&gt;kkysyh </v>
          </cell>
          <cell r="O22" t="str">
            <v xml:space="preserve"> 'ksjk</v>
          </cell>
        </row>
        <row r="23">
          <cell r="E23" t="str">
            <v>jtkosru</v>
          </cell>
          <cell r="H23" t="str">
            <v>jDde</v>
          </cell>
          <cell r="I23" t="str">
            <v>gIR;kpk</v>
          </cell>
          <cell r="J23" t="str">
            <v>,dw.k</v>
          </cell>
          <cell r="L23" t="str">
            <v>jDde</v>
          </cell>
          <cell r="M23" t="str">
            <v>gIR;kpk</v>
          </cell>
          <cell r="N23" t="str">
            <v>,dw.k</v>
          </cell>
        </row>
        <row r="24">
          <cell r="I24" t="str">
            <v>dzekad</v>
          </cell>
          <cell r="J24" t="str">
            <v>jDde</v>
          </cell>
          <cell r="M24" t="str">
            <v>dzekad</v>
          </cell>
          <cell r="N24" t="str">
            <v>jDde</v>
          </cell>
        </row>
        <row r="25">
          <cell r="B25">
            <v>1</v>
          </cell>
          <cell r="C25">
            <v>2</v>
          </cell>
          <cell r="E25">
            <v>3</v>
          </cell>
          <cell r="F25">
            <v>1</v>
          </cell>
          <cell r="G25">
            <v>4</v>
          </cell>
          <cell r="H25">
            <v>5</v>
          </cell>
          <cell r="I25">
            <v>6</v>
          </cell>
          <cell r="J25">
            <v>7</v>
          </cell>
          <cell r="K25">
            <v>8</v>
          </cell>
          <cell r="L25">
            <v>5</v>
          </cell>
          <cell r="M25">
            <v>6</v>
          </cell>
          <cell r="N25">
            <v>7</v>
          </cell>
          <cell r="O25">
            <v>8</v>
          </cell>
        </row>
        <row r="26">
          <cell r="B26" t="str">
            <v>BR/BN-49689</v>
          </cell>
          <cell r="C26" t="str">
            <v>Shri.S.B. Shengolkar</v>
          </cell>
          <cell r="E26">
            <v>4100</v>
          </cell>
          <cell r="G26">
            <v>500</v>
          </cell>
          <cell r="J26">
            <v>1000</v>
          </cell>
          <cell r="K26" t="str">
            <v>uohu oxZ.khnkj]ekgs 1$2001</v>
          </cell>
        </row>
        <row r="27">
          <cell r="F27" t="str">
            <v>BR/BN-12228</v>
          </cell>
          <cell r="G27">
            <v>500</v>
          </cell>
          <cell r="I27">
            <v>5600</v>
          </cell>
          <cell r="K27" t="str">
            <v>iklqu ekfld oxZ.kh jQ-500$&amp;</v>
          </cell>
          <cell r="N27">
            <v>1500</v>
          </cell>
        </row>
        <row r="28">
          <cell r="B28" t="str">
            <v>BR/BN-12228</v>
          </cell>
          <cell r="C28" t="str">
            <v>Shri. R.G. Khan</v>
          </cell>
          <cell r="E28">
            <v>5600</v>
          </cell>
          <cell r="F28" t="str">
            <v>BR/BN-11448</v>
          </cell>
          <cell r="G28">
            <v>1500</v>
          </cell>
          <cell r="I28">
            <v>4200</v>
          </cell>
          <cell r="J28">
            <v>1500</v>
          </cell>
          <cell r="K28" t="str">
            <v>vkf.k ekgs 9$2001</v>
          </cell>
          <cell r="L28">
            <v>2000</v>
          </cell>
          <cell r="M28" t="str">
            <v>4/15</v>
          </cell>
          <cell r="N28">
            <v>3000</v>
          </cell>
        </row>
        <row r="29">
          <cell r="B29" t="str">
            <v>BR/BN-11448</v>
          </cell>
          <cell r="C29" t="str">
            <v>Shri. P.G. Khursade</v>
          </cell>
          <cell r="E29">
            <v>6000</v>
          </cell>
          <cell r="F29" t="str">
            <v>BR/BN-46715</v>
          </cell>
          <cell r="G29">
            <v>1000</v>
          </cell>
          <cell r="H29">
            <v>2000</v>
          </cell>
          <cell r="I29" t="str">
            <v>7/15</v>
          </cell>
          <cell r="J29">
            <v>3000</v>
          </cell>
          <cell r="K29" t="str">
            <v>iklwu jQ- 500$&amp; v'kh</v>
          </cell>
          <cell r="L29">
            <v>1153</v>
          </cell>
          <cell r="M29" t="str">
            <v>8/20</v>
          </cell>
          <cell r="N29">
            <v>1653</v>
          </cell>
        </row>
        <row r="30">
          <cell r="B30" t="str">
            <v>BR/BN-46715</v>
          </cell>
          <cell r="C30" t="str">
            <v>Shri. P.M.Puri</v>
          </cell>
          <cell r="E30">
            <v>3500</v>
          </cell>
          <cell r="G30">
            <v>500</v>
          </cell>
          <cell r="H30">
            <v>1150</v>
          </cell>
          <cell r="I30" t="str">
            <v>2/20</v>
          </cell>
          <cell r="J30">
            <v>1650</v>
          </cell>
          <cell r="K30" t="str">
            <v>,dwu 1000$&amp; izfrekg-</v>
          </cell>
          <cell r="L30" t="str">
            <v>,dw.k---------</v>
          </cell>
          <cell r="N30">
            <v>6153</v>
          </cell>
        </row>
        <row r="31">
          <cell r="G31" t="str">
            <v>,dw.k v{kjh -</v>
          </cell>
          <cell r="H31" t="str">
            <v>,dw.k---------</v>
          </cell>
          <cell r="I31" t="str">
            <v>Rs.Six thousand one hundred fifty three only</v>
          </cell>
          <cell r="J31">
            <v>7150</v>
          </cell>
        </row>
        <row r="32">
          <cell r="C32" t="str">
            <v>,dw.k v{kjh -</v>
          </cell>
          <cell r="E32" t="str">
            <v>Rs.Seven thousand one hundred fifty only</v>
          </cell>
        </row>
        <row r="33">
          <cell r="G33" t="str">
            <v>izekf.kr dj.;kr ;sr vkgs dh] ;k vuqlwphrhy ri'khy cjkscj vlY;kps eh O;fDr'k%</v>
          </cell>
        </row>
        <row r="34">
          <cell r="C34" t="str">
            <v>izekf.kr dj.;kr ;sr vkgs dh] ;k vuqlwphrhy ri'khy cjkscj vlY;kps eh O;fDr'k%</v>
          </cell>
          <cell r="F34" t="str">
            <v xml:space="preserve">iMrkGwu ikfgys vkgs o rks cjkscj vlY;kps vk&lt;Gwu vkys vkgs- (iQDr vjktif_kr deZpkjh </v>
          </cell>
        </row>
        <row r="35">
          <cell r="B35" t="str">
            <v xml:space="preserve">iMrkGwu ikfgys vkgs o rks cjkscj vlY;kps vk&lt;Gwu vkys vkgs- (iQDr vjktif_kr deZpkjh </v>
          </cell>
          <cell r="F35" t="str">
            <v>oxkZyk ykxw vkgs-)</v>
          </cell>
        </row>
        <row r="36">
          <cell r="B36" t="str">
            <v>oxkZyk ykxw vkgs-)</v>
          </cell>
        </row>
        <row r="37">
          <cell r="L37" t="str">
            <v>mifoHAkxh; vfHA;ark</v>
          </cell>
        </row>
        <row r="38">
          <cell r="H38" t="str">
            <v>mifoHAkxh; vf/kdkjh</v>
          </cell>
          <cell r="L38" t="str">
            <v xml:space="preserve">egkjk"V!  vkjksX; lsok fodkl izdYi] </v>
          </cell>
        </row>
        <row r="39">
          <cell r="H39" t="str">
            <v xml:space="preserve">egkjk"V!  vkjksX; lsok fodkl izdYi] </v>
          </cell>
          <cell r="L39" t="str">
            <v>vfHk;kaf_kdh foHkkx] vdksyk-</v>
          </cell>
        </row>
        <row r="40">
          <cell r="G40" t="str">
            <v>ys[kk ijh{kk dk;kZy;kP;k mi;ksxklkBh] izek.kd ------- oVfoY;kpk fnukad-----------</v>
          </cell>
          <cell r="H40" t="str">
            <v>vfHk;kaf_kdh foHkkx] vdksyk-</v>
          </cell>
        </row>
        <row r="41">
          <cell r="C41" t="str">
            <v>ys[kk ijh{kk dk;kZy;kP;k mi;ksxklkBh] izek.kd ------- oVfoY;kpk fnukad-----------</v>
          </cell>
          <cell r="E41">
            <v>1</v>
          </cell>
          <cell r="F41" t="str">
            <v>izekf.kr dj.;kr ;srs dh] uko] oS;fDrd otkrhph jDde o LraHk 7 e/;s n'kZfo.;kr vkysyh ,dw.k</v>
          </cell>
        </row>
        <row r="42">
          <cell r="B42" t="str">
            <v>izekf.kr dj.;kr ;srs dh] uko] oS;fDrd otkrhph jDde o LraHk 7 e/;s n'kZfo.;kr vkysyh ,dw.k</v>
          </cell>
          <cell r="F42" t="str">
            <v>jDde ;k xks"Vh fcykP;k lanHkkZr riklY;k vkgsr-  igk% ys[kk ijh{kk fu;e iqfLrdspk ifjPNsn 224-</v>
          </cell>
        </row>
        <row r="43">
          <cell r="B43" t="str">
            <v>jDde ;k xks"Vh fcykP;k lanHkkZr riklY;k vkgsr-  igk% ys[kk ijh{kk fu;e iqfLrdspk ifjPNsn 224-</v>
          </cell>
          <cell r="E43">
            <v>2</v>
          </cell>
          <cell r="F43" t="str">
            <v>izekf.kr dj.;kr ;srs dh]  LraHk 3 e/;s n'kZfo.;kr vkysys osrukps nj izR;{k fcykOnkjs dk&lt;.;kr</v>
          </cell>
        </row>
        <row r="44">
          <cell r="B44" t="str">
            <v>izekf.kr dj.;kr ;srs dh]  LraHk 3 e/;s n'kZfo.;kr vkysys osrukps nj izR;{k fcykOnkjs dk&lt;.;kr</v>
          </cell>
          <cell r="F44" t="str">
            <v>vkysY;k jdes'kh iMrkGwu ikg.;kr vkys vkgsr-</v>
          </cell>
        </row>
        <row r="45">
          <cell r="B45" t="str">
            <v>vkysY;k jdes'kh iMrkGwu ikg.;kr vkys vkgsr-</v>
          </cell>
        </row>
        <row r="46">
          <cell r="K46" t="str">
            <v xml:space="preserve">ys[kk ijh{kdkaph fnukafdr vk|k{kjh </v>
          </cell>
        </row>
        <row r="47">
          <cell r="G47" t="str">
            <v xml:space="preserve">ys[kk ijh{kdkaph fnukafdr vk|k{kjh </v>
          </cell>
          <cell r="K47" t="str">
            <v>foHkkx ys[kk ijh{kk 'kk[kk</v>
          </cell>
        </row>
        <row r="48">
          <cell r="G48" t="str">
            <v>foHkkx ys[kk ijh{kk 'kk[kk</v>
          </cell>
        </row>
      </sheetData>
      <sheetData sheetId="4">
        <row r="4">
          <cell r="D4" t="str">
            <v>Schedule of subscription deducted from pay bill on account of the State</v>
          </cell>
        </row>
        <row r="5">
          <cell r="D5" t="str">
            <v>Government Employee's Group Insurance Scheme to be attached by</v>
          </cell>
        </row>
        <row r="6">
          <cell r="D6" t="str">
            <v>drawing &amp; disbursing Officer to pay bill is duplicate.</v>
          </cell>
        </row>
        <row r="8">
          <cell r="C8" t="str">
            <v>NOTES --</v>
          </cell>
          <cell r="D8" t="str">
            <v>This schedule should also be used &amp; attached in duplicate to which the</v>
          </cell>
        </row>
        <row r="9">
          <cell r="D9" t="str">
            <v>Treasury Challans in case of the amount is paid in cash.</v>
          </cell>
        </row>
        <row r="11">
          <cell r="B11" t="str">
            <v>Name of Office</v>
          </cell>
          <cell r="D11" t="str">
            <v>Executive Engineer, Maharashtra Health System  Project  (E.D) Division,Akola</v>
          </cell>
        </row>
        <row r="13">
          <cell r="B13" t="str">
            <v>Month &amp; year.</v>
          </cell>
          <cell r="D13" t="str">
            <v>For the Month of</v>
          </cell>
          <cell r="E13" t="str">
            <v>10/2001 paid in 11/2001</v>
          </cell>
        </row>
        <row r="15">
          <cell r="B15" t="str">
            <v>Major head of acount --</v>
          </cell>
          <cell r="D15" t="str">
            <v>8011 G.I.S.</v>
          </cell>
        </row>
        <row r="17">
          <cell r="B17" t="str">
            <v>Particular</v>
          </cell>
          <cell r="C17" t="str">
            <v xml:space="preserve">Recoveries made at the composite </v>
          </cell>
          <cell r="F17" t="str">
            <v xml:space="preserve">Recoveries made from premimum </v>
          </cell>
          <cell r="I17" t="str">
            <v>Total</v>
          </cell>
          <cell r="J17" t="str">
            <v>Remarks.</v>
          </cell>
        </row>
        <row r="18">
          <cell r="B18" t="str">
            <v>of Class.</v>
          </cell>
          <cell r="D18" t="str">
            <v>Rate</v>
          </cell>
          <cell r="G18" t="str">
            <v>Rate</v>
          </cell>
          <cell r="I18" t="str">
            <v>Recoveries.</v>
          </cell>
        </row>
        <row r="19">
          <cell r="C19" t="str">
            <v>No. of</v>
          </cell>
          <cell r="D19" t="str">
            <v>Rate</v>
          </cell>
          <cell r="E19" t="str">
            <v>Amount.</v>
          </cell>
          <cell r="F19" t="str">
            <v>No. of</v>
          </cell>
          <cell r="G19" t="str">
            <v>Rate</v>
          </cell>
          <cell r="H19" t="str">
            <v>Amount.</v>
          </cell>
        </row>
        <row r="20">
          <cell r="C20" t="str">
            <v>Employee's</v>
          </cell>
          <cell r="F20" t="str">
            <v>Employee's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</row>
        <row r="23">
          <cell r="B23" t="str">
            <v>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B25" t="str">
            <v>B</v>
          </cell>
          <cell r="C25" t="str">
            <v>.</v>
          </cell>
          <cell r="D25">
            <v>0</v>
          </cell>
          <cell r="E25">
            <v>0</v>
          </cell>
          <cell r="F25" t="str">
            <v xml:space="preserve"> -</v>
          </cell>
          <cell r="G25" t="str">
            <v xml:space="preserve"> -</v>
          </cell>
          <cell r="H25" t="str">
            <v xml:space="preserve"> -</v>
          </cell>
          <cell r="I25">
            <v>0</v>
          </cell>
        </row>
        <row r="27">
          <cell r="B27" t="str">
            <v>C</v>
          </cell>
          <cell r="C27">
            <v>4</v>
          </cell>
          <cell r="D27">
            <v>30</v>
          </cell>
          <cell r="E27">
            <v>120</v>
          </cell>
          <cell r="F27" t="str">
            <v xml:space="preserve"> -</v>
          </cell>
          <cell r="G27" t="str">
            <v xml:space="preserve"> -</v>
          </cell>
          <cell r="H27" t="str">
            <v xml:space="preserve"> -</v>
          </cell>
          <cell r="I27">
            <v>120</v>
          </cell>
        </row>
        <row r="29">
          <cell r="B29" t="str">
            <v>D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-</v>
          </cell>
          <cell r="G29" t="str">
            <v xml:space="preserve"> -</v>
          </cell>
          <cell r="H29" t="str">
            <v xml:space="preserve"> -</v>
          </cell>
          <cell r="I29">
            <v>0</v>
          </cell>
        </row>
        <row r="31">
          <cell r="B31" t="str">
            <v>Total :-</v>
          </cell>
          <cell r="I31">
            <v>120</v>
          </cell>
        </row>
        <row r="33">
          <cell r="B33" t="str">
            <v>Total amount of Deduction.</v>
          </cell>
          <cell r="E33" t="str">
            <v>Rs.One hundred twenty  only</v>
          </cell>
        </row>
        <row r="35">
          <cell r="B35" t="str">
            <v>In Figure</v>
          </cell>
          <cell r="C35">
            <v>120</v>
          </cell>
        </row>
        <row r="37">
          <cell r="B37" t="str">
            <v>In words.</v>
          </cell>
          <cell r="C37" t="str">
            <v>Rs.One hundred twenty  only</v>
          </cell>
        </row>
        <row r="38">
          <cell r="F38" t="str">
            <v>Sub Divisional Officer,</v>
          </cell>
        </row>
        <row r="39">
          <cell r="B39" t="str">
            <v>Portion for Treasury Officer</v>
          </cell>
          <cell r="F39" t="str">
            <v>Maharashtra Health System Development Project,</v>
          </cell>
        </row>
        <row r="40">
          <cell r="B40" t="str">
            <v>Major Head.</v>
          </cell>
          <cell r="F40" t="str">
            <v>Engineering Division,</v>
          </cell>
        </row>
        <row r="41">
          <cell r="F41" t="str">
            <v>Akola.</v>
          </cell>
        </row>
        <row r="42">
          <cell r="B42" t="str">
            <v>Treasury Vr.No.&amp; Date.</v>
          </cell>
          <cell r="I42" t="str">
            <v>Treasury Officer.</v>
          </cell>
        </row>
        <row r="44">
          <cell r="B44" t="str">
            <v>Challan No.&amp; Date.</v>
          </cell>
          <cell r="I44" t="str">
            <v>Pay Accounts Office</v>
          </cell>
        </row>
      </sheetData>
      <sheetData sheetId="5">
        <row r="4">
          <cell r="B4" t="str">
            <v>Head of account</v>
          </cell>
        </row>
      </sheetData>
      <sheetData sheetId="6">
        <row r="2">
          <cell r="B2" t="str">
            <v>edkequk&amp;,p&amp;192 (8&amp;96&amp;5]40]000)ih, 2</v>
          </cell>
        </row>
      </sheetData>
      <sheetData sheetId="7">
        <row r="2">
          <cell r="B2" t="str">
            <v>'kk-fu-fo`rfoHAkx dz-VhvkjMCY;q</v>
          </cell>
        </row>
      </sheetData>
      <sheetData sheetId="8">
        <row r="2">
          <cell r="C2" t="str">
            <v>APPOINTMENT TO GOVT. CIRCULAR FINANCE DEPARTMENT NO. F 1972 P II dT.</v>
          </cell>
        </row>
      </sheetData>
      <sheetData sheetId="9">
        <row r="2">
          <cell r="F2" t="str">
            <v>uequk edksuh 25 (fu;e 277 igk)</v>
          </cell>
        </row>
      </sheetData>
      <sheetData sheetId="10">
        <row r="5">
          <cell r="G5" t="str">
            <v>Head of Account</v>
          </cell>
        </row>
      </sheetData>
      <sheetData sheetId="11">
        <row r="2">
          <cell r="E2" t="str">
            <v>FORM NO. 10</v>
          </cell>
        </row>
      </sheetData>
      <sheetData sheetId="12">
        <row r="4">
          <cell r="D4" t="str">
            <v xml:space="preserve">Statement showing the recovery of 0021 Income-Tax </v>
          </cell>
        </row>
      </sheetData>
      <sheetData sheetId="13">
        <row r="2">
          <cell r="C2">
            <v>15</v>
          </cell>
        </row>
      </sheetData>
      <sheetData sheetId="14" refreshError="1"/>
      <sheetData sheetId="15">
        <row r="2">
          <cell r="D2" t="str">
            <v>Schedule of deduction of account of the</v>
          </cell>
        </row>
      </sheetData>
      <sheetData sheetId="16">
        <row r="2">
          <cell r="F2" t="str">
            <v>vecegvee -12</v>
          </cell>
        </row>
      </sheetData>
      <sheetData sheetId="17">
        <row r="2">
          <cell r="B2">
            <v>0</v>
          </cell>
        </row>
      </sheetData>
      <sheetData sheetId="18">
        <row r="3">
          <cell r="F3" t="str">
            <v>Salary Slip Month of</v>
          </cell>
        </row>
      </sheetData>
      <sheetData sheetId="19">
        <row r="2">
          <cell r="AI2" t="str">
            <v>FORM NO. 10</v>
          </cell>
        </row>
      </sheetData>
      <sheetData sheetId="20">
        <row r="2">
          <cell r="C2" t="str">
            <v>Accompaniment to Government Resolution building and</v>
          </cell>
        </row>
      </sheetData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duck_SK_1"/>
      <sheetName val="accInt (3)"/>
      <sheetName val="accInt (2)"/>
      <sheetName val="accInt"/>
      <sheetName val="PAY (3)"/>
      <sheetName val="I-FORM"/>
      <sheetName val="form16"/>
      <sheetName val="murhk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ncometaxindiaefiling.gov.in/Tax_Calculator/index.html?lang=e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5"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H32"/>
  <sheetViews>
    <sheetView view="pageBreakPreview" topLeftCell="A7" zoomScale="145" zoomScaleNormal="145" zoomScaleSheetLayoutView="145" workbookViewId="0">
      <selection activeCell="D28" sqref="D28"/>
    </sheetView>
  </sheetViews>
  <sheetFormatPr defaultRowHeight="12.75" x14ac:dyDescent="0.2"/>
  <cols>
    <col min="1" max="1" width="6" customWidth="1"/>
    <col min="2" max="2" width="30.28515625" customWidth="1"/>
    <col min="3" max="3" width="4.42578125" customWidth="1"/>
    <col min="4" max="4" width="38.7109375" customWidth="1"/>
  </cols>
  <sheetData>
    <row r="2" spans="1:6" x14ac:dyDescent="0.2">
      <c r="A2" s="76">
        <v>1</v>
      </c>
      <c r="B2" s="77" t="s">
        <v>269</v>
      </c>
      <c r="C2" s="76" t="s">
        <v>114</v>
      </c>
      <c r="D2" s="77" t="s">
        <v>403</v>
      </c>
    </row>
    <row r="3" spans="1:6" x14ac:dyDescent="0.2">
      <c r="A3" s="86">
        <f>+A2+1</f>
        <v>2</v>
      </c>
      <c r="B3" s="87" t="s">
        <v>270</v>
      </c>
      <c r="C3" s="86" t="s">
        <v>114</v>
      </c>
      <c r="D3" s="87" t="s">
        <v>404</v>
      </c>
    </row>
    <row r="4" spans="1:6" x14ac:dyDescent="0.2">
      <c r="A4" s="76">
        <f t="shared" ref="A4:A7" si="0">+A3+1</f>
        <v>3</v>
      </c>
      <c r="B4" s="76" t="s">
        <v>263</v>
      </c>
      <c r="C4" s="77" t="s">
        <v>268</v>
      </c>
      <c r="D4" s="76" t="s">
        <v>405</v>
      </c>
    </row>
    <row r="5" spans="1:6" x14ac:dyDescent="0.2">
      <c r="A5" s="86">
        <f t="shared" si="0"/>
        <v>4</v>
      </c>
      <c r="B5" s="87" t="s">
        <v>266</v>
      </c>
      <c r="C5" s="87" t="s">
        <v>267</v>
      </c>
      <c r="D5" s="87" t="s">
        <v>406</v>
      </c>
    </row>
    <row r="6" spans="1:6" ht="30.75" customHeight="1" x14ac:dyDescent="0.2">
      <c r="A6" s="78">
        <f t="shared" si="0"/>
        <v>5</v>
      </c>
      <c r="B6" s="78" t="s">
        <v>262</v>
      </c>
      <c r="C6" s="78" t="s">
        <v>114</v>
      </c>
      <c r="D6" s="79" t="s">
        <v>407</v>
      </c>
    </row>
    <row r="7" spans="1:6" x14ac:dyDescent="0.2">
      <c r="A7" s="86">
        <f t="shared" si="0"/>
        <v>6</v>
      </c>
      <c r="B7" s="87" t="s">
        <v>265</v>
      </c>
      <c r="C7" s="87" t="s">
        <v>267</v>
      </c>
      <c r="D7" s="86"/>
    </row>
    <row r="8" spans="1:6" ht="23.25" customHeight="1" x14ac:dyDescent="0.2">
      <c r="A8" s="76"/>
      <c r="B8" s="91" t="s">
        <v>264</v>
      </c>
      <c r="C8" s="90"/>
      <c r="D8" s="90"/>
    </row>
    <row r="9" spans="1:6" ht="15.75" customHeight="1" x14ac:dyDescent="0.2">
      <c r="A9" s="86">
        <f>+A7+1</f>
        <v>7</v>
      </c>
      <c r="B9" s="87" t="s">
        <v>144</v>
      </c>
      <c r="C9" s="86" t="s">
        <v>114</v>
      </c>
      <c r="D9" s="87"/>
    </row>
    <row r="10" spans="1:6" ht="15.75" customHeight="1" x14ac:dyDescent="0.2">
      <c r="A10" s="76">
        <f t="shared" ref="A10:A30" si="1">+A9+1</f>
        <v>8</v>
      </c>
      <c r="B10" s="76" t="s">
        <v>142</v>
      </c>
      <c r="C10" s="76" t="s">
        <v>114</v>
      </c>
      <c r="D10" s="76" t="s">
        <v>408</v>
      </c>
    </row>
    <row r="11" spans="1:6" ht="15.75" customHeight="1" x14ac:dyDescent="0.2">
      <c r="A11" s="86">
        <f t="shared" si="1"/>
        <v>9</v>
      </c>
      <c r="B11" s="87" t="s">
        <v>143</v>
      </c>
      <c r="C11" s="86" t="s">
        <v>114</v>
      </c>
      <c r="D11" s="87" t="s">
        <v>409</v>
      </c>
    </row>
    <row r="12" spans="1:6" ht="15.75" customHeight="1" x14ac:dyDescent="0.2">
      <c r="A12" s="86">
        <f t="shared" si="1"/>
        <v>10</v>
      </c>
      <c r="B12" s="86" t="s">
        <v>410</v>
      </c>
      <c r="C12" s="86" t="s">
        <v>114</v>
      </c>
      <c r="D12" s="88">
        <v>41100</v>
      </c>
    </row>
    <row r="13" spans="1:6" ht="15.75" customHeight="1" x14ac:dyDescent="0.2">
      <c r="A13" s="81" t="s">
        <v>382</v>
      </c>
      <c r="B13" s="82"/>
      <c r="C13" s="82" t="s">
        <v>114</v>
      </c>
      <c r="D13" s="83"/>
    </row>
    <row r="14" spans="1:6" ht="15.75" customHeight="1" x14ac:dyDescent="0.2">
      <c r="A14" s="86">
        <f>+A12+1</f>
        <v>11</v>
      </c>
      <c r="B14" s="86" t="s">
        <v>395</v>
      </c>
      <c r="C14" s="86" t="s">
        <v>114</v>
      </c>
      <c r="D14" s="88">
        <v>37494</v>
      </c>
    </row>
    <row r="15" spans="1:6" ht="15.75" customHeight="1" x14ac:dyDescent="0.2">
      <c r="A15" s="76">
        <f t="shared" si="1"/>
        <v>12</v>
      </c>
      <c r="B15" s="76" t="s">
        <v>115</v>
      </c>
      <c r="C15" s="76" t="s">
        <v>114</v>
      </c>
      <c r="D15" s="84">
        <v>0.16</v>
      </c>
      <c r="F15" s="75">
        <v>0</v>
      </c>
    </row>
    <row r="16" spans="1:6" ht="15.75" customHeight="1" x14ac:dyDescent="0.2">
      <c r="A16" s="86">
        <f t="shared" si="1"/>
        <v>13</v>
      </c>
      <c r="B16" s="87" t="s">
        <v>337</v>
      </c>
      <c r="C16" s="86" t="s">
        <v>114</v>
      </c>
      <c r="D16" s="89" t="s">
        <v>125</v>
      </c>
      <c r="F16" s="75">
        <v>0.08</v>
      </c>
    </row>
    <row r="17" spans="1:8" ht="15.75" customHeight="1" x14ac:dyDescent="0.2">
      <c r="A17" s="86">
        <v>14</v>
      </c>
      <c r="B17" s="87" t="s">
        <v>400</v>
      </c>
      <c r="C17" s="86"/>
      <c r="D17" s="88">
        <v>144000</v>
      </c>
      <c r="F17" s="75">
        <v>0.16</v>
      </c>
    </row>
    <row r="18" spans="1:8" ht="15.75" customHeight="1" x14ac:dyDescent="0.2">
      <c r="A18" s="86">
        <v>15</v>
      </c>
      <c r="B18" s="76" t="s">
        <v>42</v>
      </c>
      <c r="C18" s="76" t="s">
        <v>114</v>
      </c>
      <c r="D18" s="80">
        <v>120</v>
      </c>
      <c r="F18" s="75">
        <v>0.24</v>
      </c>
    </row>
    <row r="19" spans="1:8" x14ac:dyDescent="0.2">
      <c r="A19" s="76">
        <v>16</v>
      </c>
      <c r="B19" s="86" t="s">
        <v>343</v>
      </c>
      <c r="C19" s="86" t="s">
        <v>114</v>
      </c>
      <c r="D19" s="88">
        <v>0</v>
      </c>
    </row>
    <row r="20" spans="1:8" x14ac:dyDescent="0.2">
      <c r="A20" s="86">
        <v>17</v>
      </c>
      <c r="B20" s="77" t="s">
        <v>117</v>
      </c>
      <c r="C20" s="76" t="s">
        <v>114</v>
      </c>
      <c r="D20" s="80">
        <v>360</v>
      </c>
    </row>
    <row r="21" spans="1:8" x14ac:dyDescent="0.2">
      <c r="A21" s="76">
        <f t="shared" si="1"/>
        <v>18</v>
      </c>
      <c r="B21" s="87" t="s">
        <v>336</v>
      </c>
      <c r="C21" s="86" t="s">
        <v>114</v>
      </c>
      <c r="D21" s="88">
        <v>5000</v>
      </c>
    </row>
    <row r="22" spans="1:8" x14ac:dyDescent="0.2">
      <c r="A22" s="86">
        <f t="shared" si="1"/>
        <v>19</v>
      </c>
      <c r="B22" s="77" t="s">
        <v>333</v>
      </c>
      <c r="C22" s="76" t="s">
        <v>114</v>
      </c>
      <c r="D22" s="85" t="s">
        <v>126</v>
      </c>
    </row>
    <row r="23" spans="1:8" x14ac:dyDescent="0.2">
      <c r="A23" s="76">
        <f t="shared" si="1"/>
        <v>20</v>
      </c>
      <c r="B23" s="87" t="s">
        <v>118</v>
      </c>
      <c r="C23" s="86" t="s">
        <v>114</v>
      </c>
      <c r="D23" s="88">
        <v>0</v>
      </c>
      <c r="H23">
        <v>0</v>
      </c>
    </row>
    <row r="24" spans="1:8" x14ac:dyDescent="0.2">
      <c r="A24" s="86">
        <f t="shared" si="1"/>
        <v>21</v>
      </c>
      <c r="B24" s="77" t="s">
        <v>342</v>
      </c>
      <c r="C24" s="76" t="s">
        <v>114</v>
      </c>
      <c r="D24" s="84" t="s">
        <v>126</v>
      </c>
      <c r="E24" s="74" t="s">
        <v>125</v>
      </c>
      <c r="F24" s="41">
        <v>1</v>
      </c>
      <c r="H24">
        <v>400</v>
      </c>
    </row>
    <row r="25" spans="1:8" x14ac:dyDescent="0.2">
      <c r="A25" s="76">
        <f t="shared" si="1"/>
        <v>22</v>
      </c>
      <c r="B25" s="87" t="s">
        <v>119</v>
      </c>
      <c r="C25" s="86" t="s">
        <v>114</v>
      </c>
      <c r="D25" s="88">
        <v>0</v>
      </c>
      <c r="E25" s="74" t="s">
        <v>126</v>
      </c>
      <c r="F25" s="41">
        <v>0</v>
      </c>
      <c r="H25">
        <v>600</v>
      </c>
    </row>
    <row r="26" spans="1:8" x14ac:dyDescent="0.2">
      <c r="A26" s="86">
        <f t="shared" si="1"/>
        <v>23</v>
      </c>
      <c r="B26" s="77" t="s">
        <v>330</v>
      </c>
      <c r="C26" s="76" t="s">
        <v>114</v>
      </c>
      <c r="D26" s="80">
        <v>0</v>
      </c>
      <c r="E26" s="41"/>
      <c r="F26" s="41"/>
      <c r="H26">
        <v>1200</v>
      </c>
    </row>
    <row r="27" spans="1:8" x14ac:dyDescent="0.2">
      <c r="A27" s="76">
        <v>24</v>
      </c>
      <c r="B27" s="87" t="s">
        <v>331</v>
      </c>
      <c r="C27" s="86" t="s">
        <v>114</v>
      </c>
      <c r="D27" s="88">
        <v>0</v>
      </c>
    </row>
    <row r="28" spans="1:8" x14ac:dyDescent="0.2">
      <c r="A28" s="86">
        <v>25</v>
      </c>
      <c r="B28" s="77" t="s">
        <v>397</v>
      </c>
      <c r="C28" s="76" t="s">
        <v>114</v>
      </c>
      <c r="D28" s="80">
        <v>0</v>
      </c>
    </row>
    <row r="29" spans="1:8" x14ac:dyDescent="0.2">
      <c r="A29" s="76">
        <v>26</v>
      </c>
      <c r="B29" s="87" t="s">
        <v>396</v>
      </c>
      <c r="C29" s="86" t="s">
        <v>114</v>
      </c>
      <c r="D29" s="88"/>
    </row>
    <row r="30" spans="1:8" x14ac:dyDescent="0.2">
      <c r="A30" s="86">
        <f t="shared" si="1"/>
        <v>27</v>
      </c>
      <c r="B30" s="77" t="s">
        <v>315</v>
      </c>
      <c r="C30" s="76" t="s">
        <v>114</v>
      </c>
      <c r="D30" s="80">
        <v>400</v>
      </c>
    </row>
    <row r="31" spans="1:8" x14ac:dyDescent="0.2">
      <c r="A31" s="76">
        <v>28</v>
      </c>
      <c r="B31" s="87" t="s">
        <v>339</v>
      </c>
      <c r="C31" s="86" t="s">
        <v>114</v>
      </c>
      <c r="D31" s="88">
        <v>0</v>
      </c>
    </row>
    <row r="32" spans="1:8" x14ac:dyDescent="0.2">
      <c r="A32" s="76"/>
      <c r="B32" s="77"/>
      <c r="C32" s="76"/>
      <c r="D32" s="80"/>
    </row>
  </sheetData>
  <dataConsolidate/>
  <dataValidations count="3">
    <dataValidation type="list" allowBlank="1" showInputMessage="1" showErrorMessage="1" sqref="D15">
      <formula1>$F$15:$F$18</formula1>
    </dataValidation>
    <dataValidation type="list" allowBlank="1" showInputMessage="1" showErrorMessage="1" sqref="D22 D24 D16">
      <formula1>$E$24:$E$25</formula1>
    </dataValidation>
    <dataValidation type="list" allowBlank="1" showInputMessage="1" showErrorMessage="1" sqref="D30">
      <formula1>$H$23:$H$28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'PAY Details'!$AK$7:$AK$20</xm:f>
          </x14:formula1>
          <xm:sqref>D20</xm:sqref>
        </x14:dataValidation>
        <x14:dataValidation type="list" allowBlank="1" showInputMessage="1" showErrorMessage="1">
          <x14:formula1>
            <xm:f>'PAY Details'!$AQ$8:$AQ$20</xm:f>
          </x14:formula1>
          <xm:sqref>D18</xm:sqref>
        </x14:dataValidation>
        <x14:dataValidation type="list" allowBlank="1" showInputMessage="1" showErrorMessage="1">
          <x14:formula1>
            <xm:f>'PAY Details'!$AS$8:$AS$15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K27"/>
  <sheetViews>
    <sheetView view="pageBreakPreview" topLeftCell="A13" zoomScale="115" zoomScaleNormal="120" zoomScaleSheetLayoutView="115" workbookViewId="0">
      <selection activeCell="L30" sqref="L30"/>
    </sheetView>
  </sheetViews>
  <sheetFormatPr defaultColWidth="6.5703125" defaultRowHeight="19.5" customHeight="1" x14ac:dyDescent="0.2"/>
  <cols>
    <col min="1" max="1" width="8.42578125" style="1" customWidth="1"/>
    <col min="2" max="2" width="11" style="1" bestFit="1" customWidth="1"/>
    <col min="3" max="3" width="8" style="1" bestFit="1" customWidth="1"/>
    <col min="4" max="4" width="5.28515625" style="1" bestFit="1" customWidth="1"/>
    <col min="5" max="6" width="6.140625" style="1" bestFit="1" customWidth="1"/>
    <col min="7" max="7" width="4.5703125" style="1" bestFit="1" customWidth="1"/>
    <col min="8" max="8" width="4.42578125" style="1" bestFit="1" customWidth="1"/>
    <col min="9" max="9" width="4.7109375" style="1" bestFit="1" customWidth="1"/>
    <col min="10" max="10" width="9" style="1" bestFit="1" customWidth="1"/>
    <col min="11" max="11" width="4.85546875" style="1" bestFit="1" customWidth="1"/>
    <col min="12" max="12" width="7" style="1" bestFit="1" customWidth="1"/>
    <col min="13" max="13" width="6.140625" style="1" bestFit="1" customWidth="1"/>
    <col min="14" max="14" width="5.28515625" style="1" bestFit="1" customWidth="1"/>
    <col min="15" max="15" width="6.140625" style="1" customWidth="1"/>
    <col min="16" max="16" width="6.5703125" style="1" bestFit="1" customWidth="1"/>
    <col min="17" max="17" width="5.42578125" style="1" bestFit="1" customWidth="1"/>
    <col min="18" max="18" width="6.28515625" style="1" bestFit="1" customWidth="1"/>
    <col min="19" max="19" width="3.5703125" style="1" bestFit="1" customWidth="1"/>
    <col min="20" max="20" width="5.85546875" style="1" customWidth="1"/>
    <col min="21" max="21" width="4.42578125" style="1" bestFit="1" customWidth="1"/>
    <col min="22" max="22" width="6.42578125" style="1" customWidth="1"/>
    <col min="23" max="23" width="7.42578125" style="1" bestFit="1" customWidth="1"/>
    <col min="24" max="24" width="8.85546875" style="1" bestFit="1" customWidth="1"/>
    <col min="25" max="26" width="6.7109375" style="1" customWidth="1"/>
    <col min="27" max="29" width="6.5703125" style="1" customWidth="1"/>
    <col min="30" max="30" width="9" style="1" customWidth="1"/>
    <col min="31" max="33" width="6.5703125" style="1"/>
    <col min="34" max="34" width="10.7109375" style="1" bestFit="1" customWidth="1"/>
    <col min="35" max="35" width="8.42578125" style="1" customWidth="1"/>
    <col min="36" max="38" width="6.5703125" style="1"/>
    <col min="39" max="39" width="10.7109375" style="1" bestFit="1" customWidth="1"/>
    <col min="40" max="55" width="6.5703125" style="1"/>
    <col min="56" max="56" width="7.85546875" style="1" bestFit="1" customWidth="1"/>
    <col min="57" max="16384" width="6.5703125" style="1"/>
  </cols>
  <sheetData>
    <row r="1" spans="1:63" ht="19.5" customHeight="1" x14ac:dyDescent="0.2">
      <c r="A1" s="424" t="s">
        <v>67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62"/>
      <c r="Z1" s="63"/>
    </row>
    <row r="2" spans="1:63" ht="19.5" customHeight="1" x14ac:dyDescent="0.2">
      <c r="A2" s="425" t="str">
        <f>+'I-FORM'!A2</f>
        <v>Income Tax Finacial Year  01/04/2020 To 31/03/2021 Assessment Year  2021-2022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62"/>
      <c r="Z2" s="63"/>
    </row>
    <row r="3" spans="1:63" ht="19.5" customHeight="1" x14ac:dyDescent="0.2">
      <c r="A3" s="426" t="s">
        <v>65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62"/>
      <c r="Z3" s="63"/>
      <c r="AC3" s="48"/>
      <c r="AH3"/>
      <c r="AI3"/>
      <c r="AJ3"/>
      <c r="AK3"/>
      <c r="AL3" s="41" t="s">
        <v>29</v>
      </c>
      <c r="AM3" s="41" t="s">
        <v>70</v>
      </c>
      <c r="AN3" s="41" t="s">
        <v>112</v>
      </c>
    </row>
    <row r="4" spans="1:63" ht="19.5" customHeight="1" x14ac:dyDescent="0.2">
      <c r="A4" s="427" t="str">
        <f>'Input Data'!B10&amp;'Input Data'!D10&amp;'Input Data'!B11&amp;'Input Data'!D11&amp;'Input Data'!B9&amp;'Input Data'!D9</f>
        <v xml:space="preserve">Name of employee :- Shri Pramod Mahadeo Puri,  Designation :- Senior Clerk,   Pan No :-  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62"/>
      <c r="Z4" s="63"/>
      <c r="AH4" s="41" t="s">
        <v>116</v>
      </c>
      <c r="AI4"/>
      <c r="AJ4"/>
      <c r="AK4"/>
      <c r="AL4"/>
      <c r="AM4" s="42">
        <v>42370</v>
      </c>
      <c r="AN4">
        <v>125</v>
      </c>
    </row>
    <row r="5" spans="1:63" ht="37.5" customHeight="1" x14ac:dyDescent="0.2">
      <c r="A5" s="102" t="s">
        <v>27</v>
      </c>
      <c r="B5" s="102" t="s">
        <v>59</v>
      </c>
      <c r="C5" s="102" t="s">
        <v>28</v>
      </c>
      <c r="D5" s="102" t="s">
        <v>29</v>
      </c>
      <c r="E5" s="103" t="s">
        <v>352</v>
      </c>
      <c r="F5" s="102" t="s">
        <v>31</v>
      </c>
      <c r="G5" s="102" t="s">
        <v>30</v>
      </c>
      <c r="H5" s="102" t="s">
        <v>32</v>
      </c>
      <c r="I5" s="104" t="s">
        <v>345</v>
      </c>
      <c r="J5" s="103" t="s">
        <v>332</v>
      </c>
      <c r="K5" s="103" t="s">
        <v>51</v>
      </c>
      <c r="L5" s="102" t="s">
        <v>33</v>
      </c>
      <c r="M5" s="102" t="s">
        <v>34</v>
      </c>
      <c r="N5" s="103" t="s">
        <v>346</v>
      </c>
      <c r="O5" s="103" t="s">
        <v>347</v>
      </c>
      <c r="P5" s="102" t="s">
        <v>120</v>
      </c>
      <c r="Q5" s="102" t="s">
        <v>121</v>
      </c>
      <c r="R5" s="102" t="s">
        <v>122</v>
      </c>
      <c r="S5" s="102" t="s">
        <v>0</v>
      </c>
      <c r="T5" s="102" t="s">
        <v>35</v>
      </c>
      <c r="U5" s="102" t="s">
        <v>36</v>
      </c>
      <c r="V5" s="104" t="s">
        <v>399</v>
      </c>
      <c r="W5" s="104" t="s">
        <v>124</v>
      </c>
      <c r="X5" s="102" t="s">
        <v>123</v>
      </c>
      <c r="Y5" s="64"/>
      <c r="Z5" s="64"/>
      <c r="AH5"/>
      <c r="AI5"/>
      <c r="AJ5"/>
      <c r="AK5"/>
      <c r="AL5"/>
      <c r="AM5" s="42">
        <v>42552</v>
      </c>
      <c r="AN5">
        <v>125</v>
      </c>
    </row>
    <row r="6" spans="1:63" ht="19.5" customHeight="1" thickBot="1" x14ac:dyDescent="0.25">
      <c r="A6" s="95">
        <v>1</v>
      </c>
      <c r="B6" s="96">
        <f>A6+1</f>
        <v>2</v>
      </c>
      <c r="C6" s="96">
        <f>B6+1</f>
        <v>3</v>
      </c>
      <c r="D6" s="96">
        <f t="shared" ref="D6:X6" si="0">C6+1</f>
        <v>4</v>
      </c>
      <c r="E6" s="96">
        <f t="shared" si="0"/>
        <v>5</v>
      </c>
      <c r="F6" s="96">
        <f t="shared" si="0"/>
        <v>6</v>
      </c>
      <c r="G6" s="96">
        <f t="shared" si="0"/>
        <v>7</v>
      </c>
      <c r="H6" s="96">
        <f t="shared" si="0"/>
        <v>8</v>
      </c>
      <c r="I6" s="96">
        <f t="shared" si="0"/>
        <v>9</v>
      </c>
      <c r="J6" s="96">
        <f t="shared" si="0"/>
        <v>10</v>
      </c>
      <c r="K6" s="96">
        <f t="shared" si="0"/>
        <v>11</v>
      </c>
      <c r="L6" s="96">
        <f t="shared" si="0"/>
        <v>12</v>
      </c>
      <c r="M6" s="96">
        <f t="shared" si="0"/>
        <v>13</v>
      </c>
      <c r="N6" s="96">
        <f t="shared" si="0"/>
        <v>14</v>
      </c>
      <c r="O6" s="96">
        <f t="shared" si="0"/>
        <v>15</v>
      </c>
      <c r="P6" s="96">
        <f t="shared" si="0"/>
        <v>16</v>
      </c>
      <c r="Q6" s="96">
        <f t="shared" si="0"/>
        <v>17</v>
      </c>
      <c r="R6" s="96">
        <f t="shared" si="0"/>
        <v>18</v>
      </c>
      <c r="S6" s="96">
        <f t="shared" si="0"/>
        <v>19</v>
      </c>
      <c r="T6" s="96">
        <f t="shared" si="0"/>
        <v>20</v>
      </c>
      <c r="U6" s="96">
        <f t="shared" si="0"/>
        <v>21</v>
      </c>
      <c r="V6" s="96">
        <f t="shared" si="0"/>
        <v>22</v>
      </c>
      <c r="W6" s="96">
        <f t="shared" si="0"/>
        <v>23</v>
      </c>
      <c r="X6" s="96">
        <f t="shared" si="0"/>
        <v>24</v>
      </c>
      <c r="Y6" s="7"/>
      <c r="Z6" s="7"/>
      <c r="AK6" s="37" t="s">
        <v>35</v>
      </c>
    </row>
    <row r="7" spans="1:63" ht="27" customHeight="1" thickTop="1" thickBot="1" x14ac:dyDescent="0.25">
      <c r="A7" s="108">
        <v>43891</v>
      </c>
      <c r="B7" s="407"/>
      <c r="C7" s="110">
        <f>+'Input Data'!D12</f>
        <v>41100</v>
      </c>
      <c r="D7" s="110">
        <f>+ROUND(VLOOKUP(A7,$AH$8:$AJ$23,3)*(C7),0)</f>
        <v>6987</v>
      </c>
      <c r="E7" s="110"/>
      <c r="F7" s="110">
        <f>ROUND((C7)*'Input Data'!$D$15,0)</f>
        <v>6576</v>
      </c>
      <c r="G7" s="110">
        <f>+'Input Data'!D18</f>
        <v>120</v>
      </c>
      <c r="H7" s="110">
        <f>+'Input Data'!D30</f>
        <v>400</v>
      </c>
      <c r="I7" s="110">
        <f>+'Input Data'!D19</f>
        <v>0</v>
      </c>
      <c r="J7" s="110">
        <f>IF('Input Data'!$D$22="Yes",((ROUND((C7+D7)*0.14,0))),0)</f>
        <v>0</v>
      </c>
      <c r="K7" s="110">
        <v>0</v>
      </c>
      <c r="L7" s="110">
        <f>SUM(C7:K7)</f>
        <v>55183</v>
      </c>
      <c r="M7" s="110">
        <f>+'Input Data'!D21</f>
        <v>5000</v>
      </c>
      <c r="N7" s="110">
        <f>+IF('Input Data'!$D$22="Yes",((ROUND((C7+D7)*0.14,0))),0)</f>
        <v>0</v>
      </c>
      <c r="O7" s="110">
        <f>IF('Input Data'!$D$22="Yes",((ROUND((C7+D7)*0.1,0))),0)</f>
        <v>0</v>
      </c>
      <c r="P7" s="110">
        <v>0</v>
      </c>
      <c r="Q7" s="110">
        <f>+'Input Data'!D23</f>
        <v>0</v>
      </c>
      <c r="R7" s="110">
        <f>+'Input Data'!D25</f>
        <v>0</v>
      </c>
      <c r="S7" s="110">
        <f>+'Input Data'!D26</f>
        <v>0</v>
      </c>
      <c r="T7" s="110">
        <f>+'Input Data'!D20</f>
        <v>360</v>
      </c>
      <c r="U7" s="110">
        <v>200</v>
      </c>
      <c r="V7" s="110">
        <f>+'Input Data'!D31</f>
        <v>0</v>
      </c>
      <c r="W7" s="110">
        <f>SUM(M7:V7)</f>
        <v>5560</v>
      </c>
      <c r="X7" s="110">
        <f>L7-W7</f>
        <v>49623</v>
      </c>
      <c r="Y7" s="65"/>
      <c r="Z7" s="65" t="e">
        <f>+ROUND(((C7+#REF!)*1.42-D7)*1,0)</f>
        <v>#REF!</v>
      </c>
      <c r="AA7" s="4" t="s">
        <v>63</v>
      </c>
      <c r="AB7" s="4" t="s">
        <v>64</v>
      </c>
      <c r="AH7" s="43" t="s">
        <v>70</v>
      </c>
      <c r="AI7" s="44" t="s">
        <v>113</v>
      </c>
      <c r="AK7">
        <v>0</v>
      </c>
      <c r="AQ7" s="37" t="s">
        <v>30</v>
      </c>
      <c r="AS7" s="37" t="s">
        <v>344</v>
      </c>
      <c r="BD7" s="71">
        <f>+C7</f>
        <v>41100</v>
      </c>
      <c r="BE7" s="92">
        <f>+BD7*3%</f>
        <v>1233</v>
      </c>
      <c r="BF7" s="93">
        <f t="shared" ref="BF7" si="1">+BE7</f>
        <v>1233</v>
      </c>
      <c r="BG7" s="93">
        <f t="shared" ref="BG7" si="2">MOD(BE7,100)</f>
        <v>33</v>
      </c>
      <c r="BH7" s="93">
        <f t="shared" ref="BH7" si="3">BF7-BG7</f>
        <v>1200</v>
      </c>
      <c r="BI7" s="94">
        <f t="shared" ref="BI7" si="4">CEILING(BF7,100)</f>
        <v>1300</v>
      </c>
      <c r="BJ7" s="94">
        <f>IF(BG7&lt;51,BH7,BI7)</f>
        <v>1200</v>
      </c>
      <c r="BK7" s="93">
        <f t="shared" ref="BK7" si="5">BF7-BJ7</f>
        <v>33</v>
      </c>
    </row>
    <row r="8" spans="1:63" ht="27" customHeight="1" x14ac:dyDescent="0.2">
      <c r="A8" s="111">
        <f>DATE(YEAR(A7),MONTH(A7)+1,1)</f>
        <v>43922</v>
      </c>
      <c r="B8" s="410"/>
      <c r="C8" s="112">
        <f>+C7</f>
        <v>41100</v>
      </c>
      <c r="D8" s="112">
        <f t="shared" ref="D8:D18" si="6">+ROUND(VLOOKUP(A8,$AH$8:$AJ$23,3)*(C8),0)</f>
        <v>6987</v>
      </c>
      <c r="E8" s="112"/>
      <c r="F8" s="112">
        <f>ROUND((C8)*'Input Data'!$D$15,0)</f>
        <v>6576</v>
      </c>
      <c r="G8" s="112">
        <f>+G7</f>
        <v>120</v>
      </c>
      <c r="H8" s="112">
        <f>+H7</f>
        <v>400</v>
      </c>
      <c r="I8" s="112">
        <f>I7</f>
        <v>0</v>
      </c>
      <c r="J8" s="112">
        <f>IF('Input Data'!$D$22="Yes",((ROUND((C8+D8)*0.14,0))),0)</f>
        <v>0</v>
      </c>
      <c r="K8" s="112">
        <f t="shared" ref="K8:K18" si="7">+K7</f>
        <v>0</v>
      </c>
      <c r="L8" s="112">
        <f t="shared" ref="L8:L16" si="8">SUM(C8:K8)</f>
        <v>55183</v>
      </c>
      <c r="M8" s="112">
        <f>+M7</f>
        <v>5000</v>
      </c>
      <c r="N8" s="112">
        <f>+IF('Input Data'!$D$22="Yes",((ROUND((C8+D8)*0.14,0))),0)</f>
        <v>0</v>
      </c>
      <c r="O8" s="112">
        <f>IF('Input Data'!$D$22="Yes",((ROUND((C8+D8)*0.1,0))),0)</f>
        <v>0</v>
      </c>
      <c r="P8" s="112">
        <v>0</v>
      </c>
      <c r="Q8" s="112">
        <f>Q7</f>
        <v>0</v>
      </c>
      <c r="R8" s="112">
        <f>R7</f>
        <v>0</v>
      </c>
      <c r="S8" s="112">
        <f>S7</f>
        <v>0</v>
      </c>
      <c r="T8" s="112">
        <f>+T7</f>
        <v>360</v>
      </c>
      <c r="U8" s="112">
        <v>200</v>
      </c>
      <c r="V8" s="112">
        <f>+V7</f>
        <v>0</v>
      </c>
      <c r="W8" s="112">
        <f>SUM(M8:V8)</f>
        <v>5560</v>
      </c>
      <c r="X8" s="112">
        <f t="shared" ref="X8:X16" si="9">L8-W8</f>
        <v>49623</v>
      </c>
      <c r="Y8" s="65"/>
      <c r="Z8" s="65" t="e">
        <f>ROUND(((C7+#REF!)*1.42-D7)*6,0)</f>
        <v>#REF!</v>
      </c>
      <c r="AH8" s="45">
        <v>42370</v>
      </c>
      <c r="AI8" s="1">
        <v>0</v>
      </c>
      <c r="AJ8" s="1">
        <v>0</v>
      </c>
      <c r="AK8">
        <v>120</v>
      </c>
      <c r="AQ8">
        <v>0</v>
      </c>
      <c r="AS8" s="1">
        <v>0</v>
      </c>
    </row>
    <row r="9" spans="1:63" ht="27" customHeight="1" x14ac:dyDescent="0.2">
      <c r="A9" s="108">
        <f t="shared" ref="A9:A18" si="10">DATE(YEAR(A8),MONTH(A8)+1,1)</f>
        <v>43952</v>
      </c>
      <c r="B9" s="408"/>
      <c r="C9" s="110">
        <f t="shared" ref="C9:C16" si="11">+C8</f>
        <v>41100</v>
      </c>
      <c r="D9" s="110">
        <f t="shared" si="6"/>
        <v>6987</v>
      </c>
      <c r="E9" s="110"/>
      <c r="F9" s="110">
        <f>ROUND((C9)*'Input Data'!$D$15,0)</f>
        <v>6576</v>
      </c>
      <c r="G9" s="110">
        <f t="shared" ref="G9:G18" si="12">+G8</f>
        <v>120</v>
      </c>
      <c r="H9" s="110">
        <f t="shared" ref="H9:H18" si="13">+H8</f>
        <v>400</v>
      </c>
      <c r="I9" s="110">
        <f t="shared" ref="I9:I18" si="14">I8</f>
        <v>0</v>
      </c>
      <c r="J9" s="110">
        <f>IF('Input Data'!$D$22="Yes",((ROUND((C9+D9)*0.14,0))),0)</f>
        <v>0</v>
      </c>
      <c r="K9" s="110">
        <f t="shared" si="7"/>
        <v>0</v>
      </c>
      <c r="L9" s="110">
        <f t="shared" si="8"/>
        <v>55183</v>
      </c>
      <c r="M9" s="110">
        <f t="shared" ref="M9:M16" si="15">+M8</f>
        <v>5000</v>
      </c>
      <c r="N9" s="110">
        <f>+IF('Input Data'!$D$22="Yes",((ROUND((C9+D9)*0.14,0))),0)</f>
        <v>0</v>
      </c>
      <c r="O9" s="110">
        <f>IF('Input Data'!$D$22="Yes",((ROUND((C9+D9)*0.1,0))),0)</f>
        <v>0</v>
      </c>
      <c r="P9" s="110">
        <v>0</v>
      </c>
      <c r="Q9" s="110">
        <f t="shared" ref="Q9:S18" si="16">Q8</f>
        <v>0</v>
      </c>
      <c r="R9" s="110">
        <f t="shared" ref="R9:S16" si="17">R8</f>
        <v>0</v>
      </c>
      <c r="S9" s="110">
        <f t="shared" si="17"/>
        <v>0</v>
      </c>
      <c r="T9" s="110">
        <f t="shared" ref="T9:T18" si="18">T8</f>
        <v>360</v>
      </c>
      <c r="U9" s="110">
        <f t="shared" ref="U9:U17" si="19">U8</f>
        <v>200</v>
      </c>
      <c r="V9" s="110">
        <f t="shared" ref="V9:V18" si="20">+V8</f>
        <v>0</v>
      </c>
      <c r="W9" s="110">
        <f t="shared" ref="W9:W16" si="21">SUM(M9:V9)</f>
        <v>5560</v>
      </c>
      <c r="X9" s="110">
        <f t="shared" si="9"/>
        <v>49623</v>
      </c>
      <c r="Y9" s="65"/>
      <c r="Z9" s="65"/>
      <c r="AH9" s="46">
        <v>42552</v>
      </c>
      <c r="AI9" s="107">
        <v>0.02</v>
      </c>
      <c r="AJ9" s="107">
        <v>0.02</v>
      </c>
      <c r="AK9">
        <v>180</v>
      </c>
      <c r="AQ9">
        <v>65</v>
      </c>
      <c r="AS9" s="1">
        <v>50</v>
      </c>
    </row>
    <row r="10" spans="1:63" ht="27" customHeight="1" x14ac:dyDescent="0.2">
      <c r="A10" s="111">
        <f t="shared" si="10"/>
        <v>43983</v>
      </c>
      <c r="B10" s="410"/>
      <c r="C10" s="112">
        <f t="shared" si="11"/>
        <v>41100</v>
      </c>
      <c r="D10" s="112">
        <f t="shared" si="6"/>
        <v>6987</v>
      </c>
      <c r="E10" s="112">
        <f>+'Input Data'!D14</f>
        <v>37494</v>
      </c>
      <c r="F10" s="112">
        <f>ROUND((C10)*'Input Data'!$D$15,0)</f>
        <v>6576</v>
      </c>
      <c r="G10" s="112">
        <f t="shared" si="12"/>
        <v>120</v>
      </c>
      <c r="H10" s="112">
        <f t="shared" si="13"/>
        <v>400</v>
      </c>
      <c r="I10" s="112">
        <f t="shared" si="14"/>
        <v>0</v>
      </c>
      <c r="J10" s="112">
        <f>IF('Input Data'!$D$22="Yes",((ROUND((C10+D10)*0.14,0))),0)</f>
        <v>0</v>
      </c>
      <c r="K10" s="112">
        <f t="shared" si="7"/>
        <v>0</v>
      </c>
      <c r="L10" s="112">
        <f t="shared" si="8"/>
        <v>92677</v>
      </c>
      <c r="M10" s="112">
        <f>+M9+E10</f>
        <v>42494</v>
      </c>
      <c r="N10" s="112">
        <f>+IF('Input Data'!$D$22="Yes",((ROUND((C10+D10)*0.14,0))),0)</f>
        <v>0</v>
      </c>
      <c r="O10" s="112">
        <f>IF('Input Data'!$D$22="Yes",((ROUND((C10+D10)*0.1,0))),0)</f>
        <v>0</v>
      </c>
      <c r="P10" s="112">
        <v>0</v>
      </c>
      <c r="Q10" s="112">
        <f t="shared" si="16"/>
        <v>0</v>
      </c>
      <c r="R10" s="112">
        <f t="shared" si="17"/>
        <v>0</v>
      </c>
      <c r="S10" s="112">
        <f t="shared" si="17"/>
        <v>0</v>
      </c>
      <c r="T10" s="112">
        <f t="shared" si="18"/>
        <v>360</v>
      </c>
      <c r="U10" s="112">
        <f t="shared" si="19"/>
        <v>200</v>
      </c>
      <c r="V10" s="112">
        <f t="shared" si="20"/>
        <v>0</v>
      </c>
      <c r="W10" s="112">
        <f t="shared" si="21"/>
        <v>43054</v>
      </c>
      <c r="X10" s="112">
        <f t="shared" si="9"/>
        <v>49623</v>
      </c>
      <c r="Y10" s="65"/>
      <c r="Z10" s="65"/>
      <c r="AH10" s="46">
        <v>42736</v>
      </c>
      <c r="AI10" s="107">
        <v>0.04</v>
      </c>
      <c r="AJ10" s="107">
        <v>0.04</v>
      </c>
      <c r="AK10">
        <v>240</v>
      </c>
      <c r="AQ10">
        <v>95</v>
      </c>
      <c r="AS10" s="1">
        <v>100</v>
      </c>
    </row>
    <row r="11" spans="1:63" ht="27" customHeight="1" x14ac:dyDescent="0.2">
      <c r="A11" s="108">
        <f t="shared" si="10"/>
        <v>44013</v>
      </c>
      <c r="B11" s="408"/>
      <c r="C11" s="110">
        <f>+C10+BJ7</f>
        <v>42300</v>
      </c>
      <c r="D11" s="110">
        <f t="shared" si="6"/>
        <v>7191</v>
      </c>
      <c r="E11" s="110"/>
      <c r="F11" s="110">
        <f>ROUND((C11)*'Input Data'!$D$15,0)</f>
        <v>6768</v>
      </c>
      <c r="G11" s="110">
        <f t="shared" si="12"/>
        <v>120</v>
      </c>
      <c r="H11" s="110">
        <f t="shared" si="13"/>
        <v>400</v>
      </c>
      <c r="I11" s="110">
        <f t="shared" si="14"/>
        <v>0</v>
      </c>
      <c r="J11" s="110">
        <f>IF('Input Data'!$D$22="Yes",((ROUND((C11+D11)*0.14,0))),0)</f>
        <v>0</v>
      </c>
      <c r="K11" s="110">
        <f t="shared" si="7"/>
        <v>0</v>
      </c>
      <c r="L11" s="110">
        <f t="shared" si="8"/>
        <v>56779</v>
      </c>
      <c r="M11" s="110">
        <f>+M9</f>
        <v>5000</v>
      </c>
      <c r="N11" s="110">
        <f>+IF('Input Data'!$D$22="Yes",((ROUND((C11+D11)*0.14,0))),0)</f>
        <v>0</v>
      </c>
      <c r="O11" s="110">
        <f>IF('Input Data'!$D$22="Yes",((ROUND((C11+D11)*0.1,0))),0)</f>
        <v>0</v>
      </c>
      <c r="P11" s="110">
        <v>0</v>
      </c>
      <c r="Q11" s="110">
        <f t="shared" si="16"/>
        <v>0</v>
      </c>
      <c r="R11" s="110">
        <f t="shared" si="17"/>
        <v>0</v>
      </c>
      <c r="S11" s="110">
        <f t="shared" si="17"/>
        <v>0</v>
      </c>
      <c r="T11" s="110">
        <f t="shared" si="18"/>
        <v>360</v>
      </c>
      <c r="U11" s="110">
        <f t="shared" si="19"/>
        <v>200</v>
      </c>
      <c r="V11" s="110">
        <f t="shared" si="20"/>
        <v>0</v>
      </c>
      <c r="W11" s="110">
        <f>SUM(M11:V11)</f>
        <v>5560</v>
      </c>
      <c r="X11" s="110">
        <f t="shared" si="9"/>
        <v>51219</v>
      </c>
      <c r="Y11" s="65"/>
      <c r="Z11" s="65"/>
      <c r="AH11" s="46">
        <v>42917</v>
      </c>
      <c r="AI11" s="107">
        <v>0.05</v>
      </c>
      <c r="AJ11" s="107">
        <v>0.05</v>
      </c>
      <c r="AK11">
        <v>360</v>
      </c>
      <c r="AQ11">
        <v>120</v>
      </c>
      <c r="BD11" s="71" t="e">
        <f>+C10+#REF!</f>
        <v>#REF!</v>
      </c>
      <c r="BE11" s="71" t="e">
        <f>BD11*3/100</f>
        <v>#REF!</v>
      </c>
      <c r="BF11" s="71" t="e">
        <f>MOD(BE11,10)</f>
        <v>#REF!</v>
      </c>
      <c r="BG11" s="71" t="e">
        <f>BE11-BF11</f>
        <v>#REF!</v>
      </c>
      <c r="BH11" s="72" t="e">
        <f>CEILING(BE11,10)</f>
        <v>#REF!</v>
      </c>
      <c r="BI11" s="72" t="e">
        <f>IF(BF11&lt;1,BG11,BH11)</f>
        <v>#REF!</v>
      </c>
      <c r="BJ11" s="71" t="e">
        <f>BE11-BI11</f>
        <v>#REF!</v>
      </c>
    </row>
    <row r="12" spans="1:63" ht="27" customHeight="1" x14ac:dyDescent="0.2">
      <c r="A12" s="111">
        <f t="shared" si="10"/>
        <v>44044</v>
      </c>
      <c r="B12" s="410"/>
      <c r="C12" s="112">
        <f>+C11</f>
        <v>42300</v>
      </c>
      <c r="D12" s="112">
        <f t="shared" si="6"/>
        <v>7191</v>
      </c>
      <c r="E12" s="112"/>
      <c r="F12" s="112">
        <f>ROUND((C12)*'Input Data'!$D$15,0)</f>
        <v>6768</v>
      </c>
      <c r="G12" s="112">
        <f t="shared" si="12"/>
        <v>120</v>
      </c>
      <c r="H12" s="112">
        <f t="shared" si="13"/>
        <v>400</v>
      </c>
      <c r="I12" s="112">
        <f t="shared" si="14"/>
        <v>0</v>
      </c>
      <c r="J12" s="112">
        <f>IF('Input Data'!$D$22="Yes",((ROUND((C12+D12)*0.14,0))),0)</f>
        <v>0</v>
      </c>
      <c r="K12" s="112">
        <f t="shared" si="7"/>
        <v>0</v>
      </c>
      <c r="L12" s="112">
        <f t="shared" si="8"/>
        <v>56779</v>
      </c>
      <c r="M12" s="112">
        <f t="shared" si="15"/>
        <v>5000</v>
      </c>
      <c r="N12" s="112">
        <f>+IF('Input Data'!$D$22="Yes",((ROUND((C12+D12)*0.14,0))),0)</f>
        <v>0</v>
      </c>
      <c r="O12" s="112">
        <f>IF('Input Data'!$D$22="Yes",((ROUND((C12+D12)*0.1,0))),0)</f>
        <v>0</v>
      </c>
      <c r="P12" s="112">
        <v>0</v>
      </c>
      <c r="Q12" s="112">
        <f t="shared" si="16"/>
        <v>0</v>
      </c>
      <c r="R12" s="112">
        <f t="shared" si="17"/>
        <v>0</v>
      </c>
      <c r="S12" s="112">
        <f>+S11</f>
        <v>0</v>
      </c>
      <c r="T12" s="112">
        <f t="shared" si="18"/>
        <v>360</v>
      </c>
      <c r="U12" s="112">
        <f t="shared" si="19"/>
        <v>200</v>
      </c>
      <c r="V12" s="112">
        <f t="shared" si="20"/>
        <v>0</v>
      </c>
      <c r="W12" s="112">
        <f t="shared" si="21"/>
        <v>5560</v>
      </c>
      <c r="X12" s="112">
        <f t="shared" si="9"/>
        <v>51219</v>
      </c>
      <c r="Y12" s="65"/>
      <c r="Z12" s="65" t="e">
        <f>ROUND(((C11+#REF!)*1.42-D11)*3,0)</f>
        <v>#REF!</v>
      </c>
      <c r="AH12" s="46">
        <v>43101</v>
      </c>
      <c r="AI12" s="107">
        <v>7.0000000000000007E-2</v>
      </c>
      <c r="AJ12" s="107">
        <v>7.0000000000000007E-2</v>
      </c>
      <c r="AK12">
        <v>480</v>
      </c>
      <c r="AQ12">
        <v>150</v>
      </c>
    </row>
    <row r="13" spans="1:63" ht="27" customHeight="1" x14ac:dyDescent="0.2">
      <c r="A13" s="108">
        <f t="shared" si="10"/>
        <v>44075</v>
      </c>
      <c r="B13" s="409"/>
      <c r="C13" s="110">
        <f t="shared" si="11"/>
        <v>42300</v>
      </c>
      <c r="D13" s="110">
        <f t="shared" si="6"/>
        <v>7191</v>
      </c>
      <c r="E13" s="110"/>
      <c r="F13" s="110">
        <f>ROUND((C13)*'Input Data'!$D$15,0)</f>
        <v>6768</v>
      </c>
      <c r="G13" s="110">
        <f t="shared" si="12"/>
        <v>120</v>
      </c>
      <c r="H13" s="110">
        <f t="shared" si="13"/>
        <v>400</v>
      </c>
      <c r="I13" s="110">
        <f t="shared" si="14"/>
        <v>0</v>
      </c>
      <c r="J13" s="110">
        <f>IF('Input Data'!$D$22="Yes",((ROUND((C13+D13)*0.14,0))),0)</f>
        <v>0</v>
      </c>
      <c r="K13" s="110">
        <f t="shared" si="7"/>
        <v>0</v>
      </c>
      <c r="L13" s="110">
        <f t="shared" si="8"/>
        <v>56779</v>
      </c>
      <c r="M13" s="110">
        <f t="shared" si="15"/>
        <v>5000</v>
      </c>
      <c r="N13" s="110">
        <f>+IF('Input Data'!$D$22="Yes",((ROUND((C13+D13)*0.14,0))),0)</f>
        <v>0</v>
      </c>
      <c r="O13" s="110">
        <f>IF('Input Data'!$D$22="Yes",((ROUND((C13+D13)*0.1,0))),0)</f>
        <v>0</v>
      </c>
      <c r="P13" s="110">
        <v>0</v>
      </c>
      <c r="Q13" s="110">
        <f t="shared" si="16"/>
        <v>0</v>
      </c>
      <c r="R13" s="110">
        <f t="shared" si="17"/>
        <v>0</v>
      </c>
      <c r="S13" s="110">
        <f>+S12</f>
        <v>0</v>
      </c>
      <c r="T13" s="110">
        <f t="shared" si="18"/>
        <v>360</v>
      </c>
      <c r="U13" s="110">
        <f t="shared" si="19"/>
        <v>200</v>
      </c>
      <c r="V13" s="110">
        <f t="shared" si="20"/>
        <v>0</v>
      </c>
      <c r="W13" s="110">
        <f t="shared" si="21"/>
        <v>5560</v>
      </c>
      <c r="X13" s="110">
        <f t="shared" si="9"/>
        <v>51219</v>
      </c>
      <c r="Y13" s="65"/>
      <c r="Z13" s="65"/>
      <c r="AC13">
        <v>1299</v>
      </c>
      <c r="AD13">
        <v>0</v>
      </c>
      <c r="AH13" s="46">
        <v>43282</v>
      </c>
      <c r="AI13" s="107">
        <v>0.09</v>
      </c>
      <c r="AJ13" s="107">
        <v>0.09</v>
      </c>
      <c r="AK13">
        <v>960</v>
      </c>
      <c r="AQ13">
        <v>180</v>
      </c>
    </row>
    <row r="14" spans="1:63" ht="27" customHeight="1" x14ac:dyDescent="0.2">
      <c r="A14" s="111">
        <f t="shared" si="10"/>
        <v>44105</v>
      </c>
      <c r="B14" s="406"/>
      <c r="C14" s="112">
        <f t="shared" si="11"/>
        <v>42300</v>
      </c>
      <c r="D14" s="112">
        <f t="shared" si="6"/>
        <v>7191</v>
      </c>
      <c r="E14" s="112"/>
      <c r="F14" s="112">
        <f>ROUND((C14)*'Input Data'!$D$15,0)</f>
        <v>6768</v>
      </c>
      <c r="G14" s="112">
        <f t="shared" si="12"/>
        <v>120</v>
      </c>
      <c r="H14" s="112">
        <f t="shared" si="13"/>
        <v>400</v>
      </c>
      <c r="I14" s="112">
        <f t="shared" si="14"/>
        <v>0</v>
      </c>
      <c r="J14" s="112">
        <f>IF('Input Data'!$D$22="Yes",((ROUND((C14+D14)*0.14,0))),0)</f>
        <v>0</v>
      </c>
      <c r="K14" s="112">
        <f t="shared" si="7"/>
        <v>0</v>
      </c>
      <c r="L14" s="112">
        <f t="shared" si="8"/>
        <v>56779</v>
      </c>
      <c r="M14" s="112">
        <f t="shared" si="15"/>
        <v>5000</v>
      </c>
      <c r="N14" s="112">
        <f>+IF('Input Data'!$D$22="Yes",((ROUND((C14+D14)*0.14,0))),0)</f>
        <v>0</v>
      </c>
      <c r="O14" s="112">
        <f>IF('Input Data'!$D$22="Yes",((ROUND((C14+D14)*0.1,0))),0)</f>
        <v>0</v>
      </c>
      <c r="P14" s="112">
        <v>0</v>
      </c>
      <c r="Q14" s="112">
        <f t="shared" si="16"/>
        <v>0</v>
      </c>
      <c r="R14" s="112">
        <f t="shared" si="17"/>
        <v>0</v>
      </c>
      <c r="S14" s="112">
        <f t="shared" si="17"/>
        <v>0</v>
      </c>
      <c r="T14" s="112">
        <f t="shared" si="18"/>
        <v>360</v>
      </c>
      <c r="U14" s="112">
        <f t="shared" si="19"/>
        <v>200</v>
      </c>
      <c r="V14" s="112">
        <f t="shared" si="20"/>
        <v>0</v>
      </c>
      <c r="W14" s="112">
        <f t="shared" si="21"/>
        <v>5560</v>
      </c>
      <c r="X14" s="112">
        <f t="shared" si="9"/>
        <v>51219</v>
      </c>
      <c r="Y14" s="65"/>
      <c r="Z14" s="65" t="e">
        <f>SUM(Z8:Z12)</f>
        <v>#REF!</v>
      </c>
      <c r="AC14">
        <v>15000</v>
      </c>
      <c r="AD14">
        <v>400</v>
      </c>
      <c r="AH14" s="46">
        <v>43466</v>
      </c>
      <c r="AI14" s="107">
        <v>0.09</v>
      </c>
      <c r="AJ14" s="107">
        <v>0.09</v>
      </c>
      <c r="AK14">
        <v>1500</v>
      </c>
      <c r="AQ14">
        <v>200</v>
      </c>
    </row>
    <row r="15" spans="1:63" ht="27" customHeight="1" x14ac:dyDescent="0.2">
      <c r="A15" s="108">
        <f t="shared" si="10"/>
        <v>44136</v>
      </c>
      <c r="B15" s="407"/>
      <c r="C15" s="110">
        <f>+C14</f>
        <v>42300</v>
      </c>
      <c r="D15" s="110">
        <f t="shared" si="6"/>
        <v>7191</v>
      </c>
      <c r="E15" s="110"/>
      <c r="F15" s="110">
        <f>ROUND((C15)*'Input Data'!$D$15,0)</f>
        <v>6768</v>
      </c>
      <c r="G15" s="110">
        <f t="shared" si="12"/>
        <v>120</v>
      </c>
      <c r="H15" s="110">
        <f t="shared" si="13"/>
        <v>400</v>
      </c>
      <c r="I15" s="110">
        <f t="shared" si="14"/>
        <v>0</v>
      </c>
      <c r="J15" s="110">
        <f>IF('Input Data'!$D$22="Yes",((ROUND((C15+D15)*0.14,0))),0)</f>
        <v>0</v>
      </c>
      <c r="K15" s="110">
        <f t="shared" si="7"/>
        <v>0</v>
      </c>
      <c r="L15" s="110">
        <f t="shared" si="8"/>
        <v>56779</v>
      </c>
      <c r="M15" s="110">
        <f t="shared" si="15"/>
        <v>5000</v>
      </c>
      <c r="N15" s="110">
        <f>+IF('Input Data'!$D$22="Yes",((ROUND((C15+D15)*0.14,0))),0)</f>
        <v>0</v>
      </c>
      <c r="O15" s="110">
        <f>IF('Input Data'!$D$22="Yes",((ROUND((C15+D15)*0.1,0))),0)</f>
        <v>0</v>
      </c>
      <c r="P15" s="110">
        <v>0</v>
      </c>
      <c r="Q15" s="110">
        <f t="shared" si="16"/>
        <v>0</v>
      </c>
      <c r="R15" s="110">
        <f t="shared" si="17"/>
        <v>0</v>
      </c>
      <c r="S15" s="110">
        <f t="shared" si="17"/>
        <v>0</v>
      </c>
      <c r="T15" s="110">
        <f t="shared" si="18"/>
        <v>360</v>
      </c>
      <c r="U15" s="110">
        <f t="shared" si="19"/>
        <v>200</v>
      </c>
      <c r="V15" s="110">
        <f t="shared" si="20"/>
        <v>0</v>
      </c>
      <c r="W15" s="110">
        <f t="shared" si="21"/>
        <v>5560</v>
      </c>
      <c r="X15" s="110">
        <f t="shared" si="9"/>
        <v>51219</v>
      </c>
      <c r="Y15" s="65"/>
      <c r="Z15" s="65"/>
      <c r="AC15">
        <v>38600</v>
      </c>
      <c r="AD15">
        <v>400</v>
      </c>
      <c r="AH15" s="46">
        <v>43647</v>
      </c>
      <c r="AI15" s="107">
        <v>0.12</v>
      </c>
      <c r="AJ15" s="107">
        <v>0.12</v>
      </c>
      <c r="AK15">
        <v>2500</v>
      </c>
      <c r="AQ15">
        <v>240</v>
      </c>
    </row>
    <row r="16" spans="1:63" ht="27" customHeight="1" x14ac:dyDescent="0.2">
      <c r="A16" s="111">
        <f t="shared" si="10"/>
        <v>44166</v>
      </c>
      <c r="B16" s="406"/>
      <c r="C16" s="112">
        <f t="shared" si="11"/>
        <v>42300</v>
      </c>
      <c r="D16" s="112">
        <f t="shared" si="6"/>
        <v>7191</v>
      </c>
      <c r="E16" s="112"/>
      <c r="F16" s="112">
        <f>ROUND((C16)*'Input Data'!$D$15,0)</f>
        <v>6768</v>
      </c>
      <c r="G16" s="112">
        <f t="shared" si="12"/>
        <v>120</v>
      </c>
      <c r="H16" s="112">
        <f t="shared" si="13"/>
        <v>400</v>
      </c>
      <c r="I16" s="112">
        <f t="shared" si="14"/>
        <v>0</v>
      </c>
      <c r="J16" s="112">
        <f>IF('Input Data'!$D$22="Yes",((ROUND((C16+D16)*0.14,0))),0)</f>
        <v>0</v>
      </c>
      <c r="K16" s="112">
        <f t="shared" si="7"/>
        <v>0</v>
      </c>
      <c r="L16" s="112">
        <f t="shared" si="8"/>
        <v>56779</v>
      </c>
      <c r="M16" s="112">
        <f t="shared" si="15"/>
        <v>5000</v>
      </c>
      <c r="N16" s="112">
        <f>+IF('Input Data'!$D$22="Yes",((ROUND((C16+D16)*0.14,0))),0)</f>
        <v>0</v>
      </c>
      <c r="O16" s="112">
        <f>IF('Input Data'!$D$22="Yes",((ROUND((C16+D16)*0.1,0))),0)</f>
        <v>0</v>
      </c>
      <c r="P16" s="112">
        <v>0</v>
      </c>
      <c r="Q16" s="112">
        <f t="shared" si="16"/>
        <v>0</v>
      </c>
      <c r="R16" s="112">
        <f t="shared" si="17"/>
        <v>0</v>
      </c>
      <c r="S16" s="112">
        <f t="shared" si="17"/>
        <v>0</v>
      </c>
      <c r="T16" s="112">
        <f t="shared" si="18"/>
        <v>360</v>
      </c>
      <c r="U16" s="112">
        <f t="shared" si="19"/>
        <v>200</v>
      </c>
      <c r="V16" s="112">
        <f t="shared" si="20"/>
        <v>0</v>
      </c>
      <c r="W16" s="112">
        <f t="shared" si="21"/>
        <v>5560</v>
      </c>
      <c r="X16" s="112">
        <f t="shared" si="9"/>
        <v>51219</v>
      </c>
      <c r="Y16" s="65"/>
      <c r="Z16" s="65"/>
      <c r="AC16">
        <v>41800</v>
      </c>
      <c r="AD16">
        <v>600</v>
      </c>
      <c r="AH16" s="46">
        <v>43831</v>
      </c>
      <c r="AI16" s="107">
        <v>0.17</v>
      </c>
      <c r="AJ16" s="107">
        <v>0.17</v>
      </c>
      <c r="AK16">
        <v>5000</v>
      </c>
    </row>
    <row r="17" spans="1:37" ht="27" customHeight="1" x14ac:dyDescent="0.2">
      <c r="A17" s="108">
        <f t="shared" si="10"/>
        <v>44197</v>
      </c>
      <c r="B17" s="109"/>
      <c r="C17" s="110">
        <f>+C16</f>
        <v>42300</v>
      </c>
      <c r="D17" s="110">
        <f t="shared" si="6"/>
        <v>7191</v>
      </c>
      <c r="E17" s="110">
        <f>+D17-D16</f>
        <v>0</v>
      </c>
      <c r="F17" s="110">
        <f>ROUND((C17)*'Input Data'!$D$15,0)</f>
        <v>6768</v>
      </c>
      <c r="G17" s="110">
        <f t="shared" si="12"/>
        <v>120</v>
      </c>
      <c r="H17" s="110">
        <f t="shared" si="13"/>
        <v>400</v>
      </c>
      <c r="I17" s="110">
        <f t="shared" si="14"/>
        <v>0</v>
      </c>
      <c r="J17" s="110">
        <f>IF('Input Data'!$D$22="Yes",((ROUND((C17+D17)*0.14,0))),0)</f>
        <v>0</v>
      </c>
      <c r="K17" s="110">
        <f t="shared" si="7"/>
        <v>0</v>
      </c>
      <c r="L17" s="110">
        <f t="shared" ref="L17:L18" si="22">SUM(C17:K17)</f>
        <v>56779</v>
      </c>
      <c r="M17" s="110">
        <f>+M16</f>
        <v>5000</v>
      </c>
      <c r="N17" s="110">
        <f>+IF('Input Data'!$D$22="Yes",((ROUND((C17+D17)*0.14,0))),0)</f>
        <v>0</v>
      </c>
      <c r="O17" s="110">
        <f>IF('Input Data'!$D$22="Yes",((ROUND((C17+D17)*0.1,0))),0)</f>
        <v>0</v>
      </c>
      <c r="P17" s="110">
        <v>0</v>
      </c>
      <c r="Q17" s="110">
        <f t="shared" si="16"/>
        <v>0</v>
      </c>
      <c r="R17" s="110">
        <f t="shared" si="16"/>
        <v>0</v>
      </c>
      <c r="S17" s="110">
        <f t="shared" si="16"/>
        <v>0</v>
      </c>
      <c r="T17" s="110">
        <f t="shared" si="18"/>
        <v>360</v>
      </c>
      <c r="U17" s="110">
        <f t="shared" si="19"/>
        <v>200</v>
      </c>
      <c r="V17" s="110">
        <f t="shared" si="20"/>
        <v>0</v>
      </c>
      <c r="W17" s="110">
        <f t="shared" ref="W17:W18" si="23">SUM(M17:V17)</f>
        <v>5560</v>
      </c>
      <c r="X17" s="110">
        <f t="shared" ref="X17:X18" si="24">L17-W17</f>
        <v>51219</v>
      </c>
      <c r="Y17" s="65"/>
      <c r="Z17" s="65"/>
      <c r="AC17">
        <v>56099</v>
      </c>
      <c r="AD17">
        <v>600</v>
      </c>
      <c r="AH17" s="46"/>
      <c r="AI17" s="47"/>
      <c r="AK17"/>
    </row>
    <row r="18" spans="1:37" ht="27" customHeight="1" x14ac:dyDescent="0.2">
      <c r="A18" s="111">
        <f t="shared" si="10"/>
        <v>44228</v>
      </c>
      <c r="B18" s="98"/>
      <c r="C18" s="112">
        <f>+C17</f>
        <v>42300</v>
      </c>
      <c r="D18" s="112">
        <f t="shared" si="6"/>
        <v>7191</v>
      </c>
      <c r="E18" s="112"/>
      <c r="F18" s="112">
        <f>ROUND((C18)*'Input Data'!$D$15,0)</f>
        <v>6768</v>
      </c>
      <c r="G18" s="112">
        <f t="shared" si="12"/>
        <v>120</v>
      </c>
      <c r="H18" s="112">
        <f t="shared" si="13"/>
        <v>400</v>
      </c>
      <c r="I18" s="112">
        <f t="shared" si="14"/>
        <v>0</v>
      </c>
      <c r="J18" s="112">
        <f>IF('Input Data'!$D$22="Yes",((ROUND((C18+D18)*0.14,0))),0)</f>
        <v>0</v>
      </c>
      <c r="K18" s="112">
        <f t="shared" si="7"/>
        <v>0</v>
      </c>
      <c r="L18" s="112">
        <f t="shared" si="22"/>
        <v>56779</v>
      </c>
      <c r="M18" s="112">
        <f>+M17</f>
        <v>5000</v>
      </c>
      <c r="N18" s="112">
        <f>+IF('Input Data'!$D$22="Yes",((ROUND((C18+D18)*0.14,0))),0)</f>
        <v>0</v>
      </c>
      <c r="O18" s="112">
        <f>IF('Input Data'!$D$22="Yes",((ROUND((C18+D18)*0.1,0))),0)</f>
        <v>0</v>
      </c>
      <c r="P18" s="112">
        <v>0</v>
      </c>
      <c r="Q18" s="112">
        <f t="shared" si="16"/>
        <v>0</v>
      </c>
      <c r="R18" s="112">
        <f t="shared" si="16"/>
        <v>0</v>
      </c>
      <c r="S18" s="112">
        <f t="shared" si="16"/>
        <v>0</v>
      </c>
      <c r="T18" s="112">
        <f t="shared" si="18"/>
        <v>360</v>
      </c>
      <c r="U18" s="112">
        <v>300</v>
      </c>
      <c r="V18" s="112">
        <f t="shared" si="20"/>
        <v>0</v>
      </c>
      <c r="W18" s="112">
        <f t="shared" si="23"/>
        <v>5660</v>
      </c>
      <c r="X18" s="112">
        <f t="shared" si="24"/>
        <v>51119</v>
      </c>
      <c r="Y18" s="65"/>
      <c r="Z18" s="65"/>
      <c r="AC18">
        <v>56100</v>
      </c>
      <c r="AD18">
        <v>1200</v>
      </c>
      <c r="AH18" s="46"/>
      <c r="AI18" s="47"/>
      <c r="AK18"/>
    </row>
    <row r="19" spans="1:37" ht="25.5" x14ac:dyDescent="0.2">
      <c r="A19" s="113" t="s">
        <v>356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>
        <f>SUM(C19:J19)</f>
        <v>0</v>
      </c>
      <c r="M19" s="110"/>
      <c r="N19" s="110"/>
      <c r="O19" s="110"/>
      <c r="P19" s="110"/>
      <c r="Q19" s="110"/>
      <c r="R19" s="110">
        <v>0</v>
      </c>
      <c r="S19" s="110"/>
      <c r="T19" s="110"/>
      <c r="U19" s="110"/>
      <c r="V19" s="110"/>
      <c r="W19" s="110">
        <f>SUM(M19:V19)</f>
        <v>0</v>
      </c>
      <c r="X19" s="110">
        <f>L19-W19</f>
        <v>0</v>
      </c>
      <c r="Y19" s="65"/>
      <c r="Z19" s="65"/>
      <c r="AC19"/>
      <c r="AD19"/>
      <c r="AH19" s="46"/>
      <c r="AI19" s="47"/>
    </row>
    <row r="20" spans="1:37" ht="19.5" customHeight="1" x14ac:dyDescent="0.2">
      <c r="A20" s="97"/>
      <c r="B20" s="98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>
        <f t="shared" ref="W20" si="25">SUM(M20:V20)</f>
        <v>0</v>
      </c>
      <c r="X20" s="112">
        <f>L20-W20</f>
        <v>0</v>
      </c>
      <c r="Y20" s="65"/>
      <c r="Z20" s="65"/>
      <c r="AC20"/>
      <c r="AD20"/>
      <c r="AH20" s="46"/>
      <c r="AI20" s="47"/>
    </row>
    <row r="21" spans="1:37" ht="12.75" x14ac:dyDescent="0.2">
      <c r="A21" s="105"/>
      <c r="B21" s="106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65"/>
      <c r="Z21" s="65"/>
      <c r="AC21">
        <v>216600</v>
      </c>
      <c r="AD21">
        <v>1200</v>
      </c>
      <c r="AH21" s="46"/>
      <c r="AI21" s="47"/>
    </row>
    <row r="22" spans="1:37" ht="19.5" customHeight="1" x14ac:dyDescent="0.2">
      <c r="A22" s="99" t="s">
        <v>33</v>
      </c>
      <c r="B22" s="100"/>
      <c r="C22" s="101">
        <f>SUM(C7:C21)</f>
        <v>502800</v>
      </c>
      <c r="D22" s="101">
        <f>SUM(D7:D21)</f>
        <v>85476</v>
      </c>
      <c r="E22" s="101">
        <f>SUM(E7:E21)</f>
        <v>37494</v>
      </c>
      <c r="F22" s="101">
        <f t="shared" ref="F22:V22" si="26">SUM(F7:F21)</f>
        <v>80448</v>
      </c>
      <c r="G22" s="101">
        <f t="shared" si="26"/>
        <v>1440</v>
      </c>
      <c r="H22" s="101">
        <f t="shared" si="26"/>
        <v>4800</v>
      </c>
      <c r="I22" s="101">
        <f t="shared" si="26"/>
        <v>0</v>
      </c>
      <c r="J22" s="101">
        <f t="shared" si="26"/>
        <v>0</v>
      </c>
      <c r="K22" s="101">
        <f t="shared" si="26"/>
        <v>0</v>
      </c>
      <c r="L22" s="101">
        <f>SUM(L7:L21)</f>
        <v>712458</v>
      </c>
      <c r="M22" s="101">
        <f t="shared" si="26"/>
        <v>97494</v>
      </c>
      <c r="N22" s="101">
        <f t="shared" si="26"/>
        <v>0</v>
      </c>
      <c r="O22" s="101">
        <f t="shared" si="26"/>
        <v>0</v>
      </c>
      <c r="P22" s="101">
        <f t="shared" si="26"/>
        <v>0</v>
      </c>
      <c r="Q22" s="101">
        <f t="shared" si="26"/>
        <v>0</v>
      </c>
      <c r="R22" s="101">
        <f t="shared" si="26"/>
        <v>0</v>
      </c>
      <c r="S22" s="101">
        <f t="shared" si="26"/>
        <v>0</v>
      </c>
      <c r="T22" s="101">
        <f t="shared" si="26"/>
        <v>4320</v>
      </c>
      <c r="U22" s="101">
        <f t="shared" si="26"/>
        <v>2500</v>
      </c>
      <c r="V22" s="101">
        <f t="shared" si="26"/>
        <v>0</v>
      </c>
      <c r="W22" s="101">
        <f>SUM(W7:W21)</f>
        <v>104314</v>
      </c>
      <c r="X22" s="101">
        <f>SUM(X7:X21)</f>
        <v>608144</v>
      </c>
      <c r="Y22" s="61">
        <f>SUM(Y7:Y21)</f>
        <v>0</v>
      </c>
      <c r="Z22" s="66">
        <f>+M22+N22+P22+Q22+T22</f>
        <v>101814</v>
      </c>
      <c r="AA22" s="39">
        <f>+U22+H22</f>
        <v>7300</v>
      </c>
      <c r="AH22" s="46"/>
      <c r="AI22" s="47"/>
    </row>
    <row r="23" spans="1:37" ht="11.25" customHeight="1" x14ac:dyDescent="0.2">
      <c r="A23" s="7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H23" s="46"/>
      <c r="AI23" s="47"/>
    </row>
    <row r="24" spans="1:37" ht="19.5" customHeight="1" x14ac:dyDescent="0.2">
      <c r="A24" s="7"/>
      <c r="B24" s="7"/>
      <c r="C24" s="5"/>
      <c r="D24" s="5"/>
      <c r="E24" s="5"/>
      <c r="F24" s="5"/>
      <c r="G24" s="3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 t="s">
        <v>62</v>
      </c>
      <c r="W24" s="5"/>
      <c r="X24" s="5"/>
      <c r="Y24" s="5"/>
      <c r="Z24" s="5"/>
    </row>
    <row r="25" spans="1:37" ht="12.75" x14ac:dyDescent="0.2">
      <c r="A25" s="7"/>
      <c r="B25" s="59" t="s">
        <v>21</v>
      </c>
      <c r="C25" s="59" t="s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37" ht="12.75" x14ac:dyDescent="0.2">
      <c r="B26" s="1" t="s">
        <v>24</v>
      </c>
      <c r="C26" s="423">
        <f ca="1">TODAY()</f>
        <v>44065</v>
      </c>
      <c r="D26" s="423"/>
      <c r="E26" s="67"/>
      <c r="I26" s="5"/>
      <c r="J26" s="5"/>
      <c r="K26" s="5"/>
      <c r="M26" s="5"/>
      <c r="N26" s="5"/>
      <c r="O26" s="5"/>
      <c r="P26" s="5"/>
      <c r="V26" s="4" t="str">
        <f>+'I-FORM'!J56</f>
        <v>Shri Pramod Mahadeo Puri</v>
      </c>
    </row>
    <row r="27" spans="1:37" ht="12.75" x14ac:dyDescent="0.2">
      <c r="U27" s="11"/>
      <c r="V27" s="4" t="str">
        <f>+'I-FORM'!J57</f>
        <v>Senior Clerk</v>
      </c>
    </row>
  </sheetData>
  <mergeCells count="5">
    <mergeCell ref="C26:D26"/>
    <mergeCell ref="A1:X1"/>
    <mergeCell ref="A2:X2"/>
    <mergeCell ref="A3:X3"/>
    <mergeCell ref="A4:X4"/>
  </mergeCells>
  <phoneticPr fontId="2" type="noConversion"/>
  <pageMargins left="0.39370078740157483" right="3.937007874015748E-2" top="0.35433070866141736" bottom="0.15748031496062992" header="0.15748031496062992" footer="0"/>
  <pageSetup paperSize="9" scale="95" orientation="landscape" r:id="rId1"/>
  <headerFooter alignWithMargins="0"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X64"/>
  <sheetViews>
    <sheetView tabSelected="1" view="pageBreakPreview" topLeftCell="F34" zoomScale="130" zoomScaleNormal="100" zoomScaleSheetLayoutView="130" workbookViewId="0">
      <selection activeCell="M50" sqref="M50"/>
    </sheetView>
  </sheetViews>
  <sheetFormatPr defaultColWidth="9.140625" defaultRowHeight="13.5" customHeight="1" x14ac:dyDescent="0.2"/>
  <cols>
    <col min="1" max="1" width="4.140625" style="1" customWidth="1"/>
    <col min="2" max="2" width="5.28515625" style="1" customWidth="1"/>
    <col min="3" max="3" width="11.42578125" style="1" customWidth="1"/>
    <col min="4" max="4" width="4" style="1" customWidth="1"/>
    <col min="5" max="5" width="10.5703125" style="1" customWidth="1"/>
    <col min="6" max="6" width="6.5703125" style="1" customWidth="1"/>
    <col min="7" max="7" width="11.140625" style="1" customWidth="1"/>
    <col min="8" max="8" width="11.7109375" style="1" customWidth="1"/>
    <col min="9" max="9" width="5.85546875" style="1" customWidth="1"/>
    <col min="10" max="10" width="9.28515625" style="1" customWidth="1"/>
    <col min="11" max="11" width="10.7109375" style="1" customWidth="1"/>
    <col min="12" max="12" width="11.7109375" style="1" customWidth="1"/>
    <col min="13" max="14" width="13.28515625" style="1" customWidth="1"/>
    <col min="15" max="15" width="13.42578125" style="1" customWidth="1"/>
    <col min="16" max="16" width="8.140625" style="1" customWidth="1"/>
    <col min="17" max="16384" width="9.140625" style="1"/>
  </cols>
  <sheetData>
    <row r="1" spans="1:19" ht="19.5" customHeight="1" x14ac:dyDescent="0.2">
      <c r="A1" s="431" t="s">
        <v>77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2"/>
      <c r="N1" s="2"/>
      <c r="O1" s="2"/>
      <c r="P1" s="2"/>
      <c r="Q1" s="26">
        <f>S1-R1</f>
        <v>3</v>
      </c>
      <c r="R1" s="27">
        <v>9</v>
      </c>
      <c r="S1" s="10">
        <v>12</v>
      </c>
    </row>
    <row r="2" spans="1:19" ht="13.5" customHeight="1" x14ac:dyDescent="0.2">
      <c r="A2" s="431" t="str">
        <f>+'Input Data'!B2&amp;'Input Data'!D2&amp;'Input Data'!B3&amp;'Input Data'!D3</f>
        <v>Income Tax Finacial Year  01/04/2020 To 31/03/2021 Assessment Year  2021-2022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2"/>
      <c r="N2" s="2"/>
      <c r="O2" s="2"/>
      <c r="P2" s="2"/>
      <c r="Q2" s="2"/>
    </row>
    <row r="3" spans="1:19" ht="13.5" customHeight="1" x14ac:dyDescent="0.2">
      <c r="A3" s="431" t="s">
        <v>66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2"/>
      <c r="N3" s="2"/>
      <c r="O3" s="2"/>
      <c r="P3" s="2"/>
      <c r="Q3" s="23">
        <v>1</v>
      </c>
      <c r="R3" s="24">
        <v>40238</v>
      </c>
      <c r="S3" s="25">
        <v>12</v>
      </c>
    </row>
    <row r="4" spans="1:19" ht="13.5" customHeight="1" x14ac:dyDescent="0.2">
      <c r="A4" s="411"/>
      <c r="B4" s="412" t="str">
        <f>+'Input Data'!B4&amp;'Input Data'!C4&amp;'Input Data'!D4&amp;'Input Data'!B11&amp;'Input Data'!D5&amp;'Input Data'!B7&amp;'Input Data'!C7&amp;'Input Data'!D7</f>
        <v xml:space="preserve">Name of the Employer :-  Shri P.D.Naoghare,  Designation :- Chief Engineer  TAN No.  :- 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"/>
      <c r="N4" s="2"/>
      <c r="O4" s="2"/>
      <c r="P4" s="2"/>
      <c r="Q4" s="23"/>
      <c r="R4" s="24"/>
      <c r="S4" s="25"/>
    </row>
    <row r="5" spans="1:19" ht="13.5" customHeight="1" x14ac:dyDescent="0.2">
      <c r="A5" s="413"/>
      <c r="B5" s="412" t="str">
        <f>'Input Data'!B10&amp;'Input Data'!D10&amp;'Input Data'!B11&amp;'Input Data'!D11&amp;'Input Data'!B9&amp;'Input Data'!D9</f>
        <v xml:space="preserve">Name of employee :- Shri Pramod Mahadeo Puri,  Designation :- Senior Clerk,   Pan No :-  </v>
      </c>
      <c r="C5" s="414"/>
      <c r="D5" s="413"/>
      <c r="E5" s="413"/>
      <c r="F5" s="413"/>
      <c r="G5" s="415"/>
      <c r="H5" s="413"/>
      <c r="I5" s="413"/>
      <c r="J5" s="415"/>
      <c r="K5" s="414"/>
      <c r="L5" s="413"/>
      <c r="Q5" s="25">
        <v>2</v>
      </c>
      <c r="R5" s="24">
        <v>40269</v>
      </c>
      <c r="S5" s="25">
        <v>11</v>
      </c>
    </row>
    <row r="6" spans="1:19" ht="3.75" customHeight="1" thickBo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Q6" s="23">
        <v>3</v>
      </c>
      <c r="R6" s="24">
        <v>40299</v>
      </c>
      <c r="S6" s="25">
        <v>10</v>
      </c>
    </row>
    <row r="7" spans="1:19" ht="18" customHeight="1" x14ac:dyDescent="0.2">
      <c r="A7" s="171" t="s">
        <v>39</v>
      </c>
      <c r="B7" s="172" t="s">
        <v>40</v>
      </c>
      <c r="C7" s="173"/>
      <c r="D7" s="167"/>
      <c r="E7" s="167"/>
      <c r="F7" s="167"/>
      <c r="G7" s="167"/>
      <c r="H7" s="167"/>
      <c r="I7" s="167"/>
      <c r="J7" s="167"/>
      <c r="K7" s="167"/>
      <c r="L7" s="168"/>
      <c r="Q7" s="25">
        <v>4</v>
      </c>
      <c r="R7" s="24">
        <v>40330</v>
      </c>
      <c r="S7" s="25">
        <v>9</v>
      </c>
    </row>
    <row r="8" spans="1:19" ht="22.5" customHeight="1" x14ac:dyDescent="0.2">
      <c r="A8" s="119"/>
      <c r="B8" s="120" t="s">
        <v>41</v>
      </c>
      <c r="C8" s="121">
        <f>'PAY Details'!C22</f>
        <v>502800</v>
      </c>
      <c r="D8" s="122"/>
      <c r="E8" s="121"/>
      <c r="F8" s="123" t="s">
        <v>348</v>
      </c>
      <c r="G8" s="121">
        <f>'PAY Details'!D22</f>
        <v>85476</v>
      </c>
      <c r="H8" s="122" t="s">
        <v>42</v>
      </c>
      <c r="I8" s="432">
        <f>'PAY Details'!G22</f>
        <v>1440</v>
      </c>
      <c r="J8" s="433"/>
      <c r="K8" s="124" t="s">
        <v>350</v>
      </c>
      <c r="L8" s="122">
        <f>+'PAY Details'!I22</f>
        <v>0</v>
      </c>
      <c r="Q8" s="23">
        <v>5</v>
      </c>
      <c r="R8" s="24">
        <v>40360</v>
      </c>
      <c r="S8" s="25">
        <v>8</v>
      </c>
    </row>
    <row r="9" spans="1:19" ht="36" customHeight="1" thickBot="1" x14ac:dyDescent="0.25">
      <c r="A9" s="174"/>
      <c r="B9" s="175" t="s">
        <v>43</v>
      </c>
      <c r="C9" s="176">
        <f>'PAY Details'!F22</f>
        <v>80448</v>
      </c>
      <c r="D9" s="177" t="s">
        <v>32</v>
      </c>
      <c r="E9" s="177">
        <f>'PAY Details'!H22</f>
        <v>4800</v>
      </c>
      <c r="F9" s="341" t="s">
        <v>398</v>
      </c>
      <c r="G9" s="176">
        <f>+'PAY Details'!E22</f>
        <v>37494</v>
      </c>
      <c r="H9" s="178" t="s">
        <v>349</v>
      </c>
      <c r="I9" s="434">
        <f>'PAY Details'!J22</f>
        <v>0</v>
      </c>
      <c r="J9" s="435"/>
      <c r="K9" s="179" t="s">
        <v>78</v>
      </c>
      <c r="L9" s="180">
        <f>SUM(C8+E8+G8+I8+C9+E9+G9+I9+L8)</f>
        <v>712458</v>
      </c>
      <c r="M9" s="37" t="s">
        <v>351</v>
      </c>
      <c r="N9" s="68">
        <f>+L9-'PAY Details'!L22</f>
        <v>0</v>
      </c>
      <c r="Q9" s="25">
        <v>6</v>
      </c>
      <c r="R9" s="24">
        <v>40391</v>
      </c>
      <c r="S9" s="25">
        <v>7</v>
      </c>
    </row>
    <row r="10" spans="1:19" ht="13.5" customHeight="1" x14ac:dyDescent="0.2">
      <c r="A10" s="231" t="s">
        <v>44</v>
      </c>
      <c r="B10" s="232" t="s">
        <v>45</v>
      </c>
      <c r="C10" s="233"/>
      <c r="D10" s="233"/>
      <c r="E10" s="233"/>
      <c r="F10" s="233"/>
      <c r="G10" s="234"/>
      <c r="H10" s="234"/>
      <c r="I10" s="234"/>
      <c r="J10" s="234"/>
      <c r="K10" s="234"/>
      <c r="L10" s="235"/>
      <c r="M10" s="5"/>
      <c r="N10" s="5"/>
      <c r="O10" s="5"/>
      <c r="P10" s="5"/>
      <c r="Q10" s="29">
        <v>7</v>
      </c>
      <c r="R10" s="30">
        <v>40422</v>
      </c>
      <c r="S10" s="31">
        <v>6</v>
      </c>
    </row>
    <row r="11" spans="1:19" ht="20.25" customHeight="1" x14ac:dyDescent="0.2">
      <c r="A11" s="125" t="s">
        <v>46</v>
      </c>
      <c r="B11" s="429" t="s">
        <v>107</v>
      </c>
      <c r="C11" s="429"/>
      <c r="D11" s="429"/>
      <c r="E11" s="429"/>
      <c r="F11" s="429"/>
      <c r="G11" s="126">
        <f>IF('Input Data'!D16="Yes",0,O14)</f>
        <v>0</v>
      </c>
      <c r="H11" s="429" t="s">
        <v>108</v>
      </c>
      <c r="I11" s="429"/>
      <c r="J11" s="429"/>
      <c r="K11" s="429"/>
      <c r="L11" s="127">
        <v>0</v>
      </c>
      <c r="N11" s="60">
        <f>ROUND((C8+E8+G8)*0.4,0)</f>
        <v>235310</v>
      </c>
      <c r="O11" s="60">
        <f>+N11</f>
        <v>235310</v>
      </c>
      <c r="Q11" s="31">
        <v>8</v>
      </c>
      <c r="R11" s="30">
        <v>40452</v>
      </c>
      <c r="S11" s="31">
        <v>5</v>
      </c>
    </row>
    <row r="12" spans="1:19" ht="20.25" customHeight="1" x14ac:dyDescent="0.2">
      <c r="A12" s="181" t="s">
        <v>48</v>
      </c>
      <c r="B12" s="430" t="s">
        <v>58</v>
      </c>
      <c r="C12" s="430"/>
      <c r="D12" s="430"/>
      <c r="E12" s="430"/>
      <c r="F12" s="430"/>
      <c r="G12" s="183">
        <f>'PAY Details'!U22</f>
        <v>2500</v>
      </c>
      <c r="H12" s="430" t="s">
        <v>353</v>
      </c>
      <c r="I12" s="430"/>
      <c r="J12" s="430"/>
      <c r="K12" s="430"/>
      <c r="L12" s="183">
        <v>0</v>
      </c>
      <c r="N12" s="1">
        <f>IF(N11&gt;C9,C9,N11)</f>
        <v>80448</v>
      </c>
      <c r="O12" s="60">
        <f>+C9</f>
        <v>80448</v>
      </c>
      <c r="Q12" s="29">
        <v>9</v>
      </c>
      <c r="R12" s="30">
        <v>40483</v>
      </c>
      <c r="S12" s="31">
        <v>4</v>
      </c>
    </row>
    <row r="13" spans="1:19" ht="20.25" customHeight="1" x14ac:dyDescent="0.2">
      <c r="A13" s="125" t="s">
        <v>50</v>
      </c>
      <c r="B13" s="429" t="s">
        <v>85</v>
      </c>
      <c r="C13" s="429"/>
      <c r="D13" s="429"/>
      <c r="E13" s="429"/>
      <c r="F13" s="429"/>
      <c r="G13" s="126">
        <f>IF('Input Data'!D24="Yes",0,'PAY Details'!R22)</f>
        <v>0</v>
      </c>
      <c r="H13" s="429" t="s">
        <v>109</v>
      </c>
      <c r="I13" s="429"/>
      <c r="J13" s="429"/>
      <c r="K13" s="429"/>
      <c r="L13" s="122">
        <v>0</v>
      </c>
      <c r="O13" s="1">
        <f>+'Input Data'!D17-O18</f>
        <v>85172</v>
      </c>
      <c r="Q13" s="3">
        <v>10</v>
      </c>
      <c r="R13" s="22">
        <v>40513</v>
      </c>
      <c r="S13" s="3">
        <v>3</v>
      </c>
    </row>
    <row r="14" spans="1:19" ht="20.25" customHeight="1" x14ac:dyDescent="0.2">
      <c r="A14" s="185" t="s">
        <v>110</v>
      </c>
      <c r="B14" s="430" t="s">
        <v>51</v>
      </c>
      <c r="C14" s="430"/>
      <c r="D14" s="430"/>
      <c r="E14" s="430"/>
      <c r="F14" s="430"/>
      <c r="G14" s="183">
        <v>0</v>
      </c>
      <c r="H14" s="430" t="s">
        <v>111</v>
      </c>
      <c r="I14" s="430"/>
      <c r="J14" s="430"/>
      <c r="K14" s="430"/>
      <c r="L14" s="182">
        <v>0</v>
      </c>
      <c r="N14" s="37"/>
      <c r="O14" s="60">
        <f>MIN(O11:O13)</f>
        <v>80448</v>
      </c>
      <c r="Q14" s="21">
        <v>11</v>
      </c>
      <c r="R14" s="22">
        <v>40544</v>
      </c>
      <c r="S14" s="3">
        <v>2</v>
      </c>
    </row>
    <row r="15" spans="1:19" ht="2.25" customHeight="1" x14ac:dyDescent="0.2">
      <c r="A15" s="128"/>
      <c r="B15" s="129"/>
      <c r="C15" s="129"/>
      <c r="D15" s="129"/>
      <c r="E15" s="129"/>
      <c r="F15" s="129"/>
      <c r="G15" s="130"/>
      <c r="H15" s="129"/>
      <c r="I15" s="129"/>
      <c r="J15" s="129"/>
      <c r="K15" s="129"/>
      <c r="L15" s="131"/>
      <c r="Q15" s="3">
        <v>12</v>
      </c>
      <c r="R15" s="22">
        <v>40575</v>
      </c>
      <c r="S15" s="3">
        <v>1</v>
      </c>
    </row>
    <row r="16" spans="1:19" ht="13.5" customHeight="1" thickBot="1" x14ac:dyDescent="0.25">
      <c r="A16" s="132"/>
      <c r="B16" s="133"/>
      <c r="C16" s="133"/>
      <c r="D16" s="133"/>
      <c r="E16" s="133"/>
      <c r="F16" s="133"/>
      <c r="G16" s="134"/>
      <c r="H16" s="133"/>
      <c r="I16" s="133"/>
      <c r="J16" s="133"/>
      <c r="K16" s="135" t="s">
        <v>79</v>
      </c>
      <c r="L16" s="136">
        <f>SUM(+G12+L11+G13+L12+L13+G14+L14+G11)</f>
        <v>2500</v>
      </c>
      <c r="N16" s="1">
        <f>+'PAY Details'!AA22</f>
        <v>7300</v>
      </c>
      <c r="R16" s="20"/>
    </row>
    <row r="17" spans="1:19" ht="21" customHeight="1" thickBot="1" x14ac:dyDescent="0.25">
      <c r="A17" s="186" t="s">
        <v>129</v>
      </c>
      <c r="B17" s="187" t="s">
        <v>52</v>
      </c>
      <c r="C17" s="166"/>
      <c r="D17" s="166"/>
      <c r="E17" s="166"/>
      <c r="F17" s="188"/>
      <c r="G17" s="189"/>
      <c r="H17" s="188"/>
      <c r="I17" s="188"/>
      <c r="J17" s="188"/>
      <c r="K17" s="190"/>
      <c r="L17" s="191"/>
      <c r="N17" s="60"/>
      <c r="S17" s="1">
        <f>376660-375876</f>
        <v>784</v>
      </c>
    </row>
    <row r="18" spans="1:19" ht="17.25" customHeight="1" x14ac:dyDescent="0.2">
      <c r="A18" s="138" t="s">
        <v>46</v>
      </c>
      <c r="B18" s="450" t="s">
        <v>53</v>
      </c>
      <c r="C18" s="450"/>
      <c r="D18" s="450"/>
      <c r="E18" s="450"/>
      <c r="F18" s="450"/>
      <c r="G18" s="139">
        <v>0</v>
      </c>
      <c r="H18" s="442" t="s">
        <v>328</v>
      </c>
      <c r="I18" s="443"/>
      <c r="J18" s="139">
        <v>0</v>
      </c>
      <c r="K18" s="117"/>
      <c r="L18" s="118"/>
      <c r="N18" s="416">
        <v>0.1</v>
      </c>
      <c r="O18" s="1">
        <f>ROUND((C8+G8)*0.1,0)</f>
        <v>58828</v>
      </c>
    </row>
    <row r="19" spans="1:19" ht="17.25" customHeight="1" x14ac:dyDescent="0.2">
      <c r="A19" s="192" t="s">
        <v>49</v>
      </c>
      <c r="B19" s="430" t="s">
        <v>334</v>
      </c>
      <c r="C19" s="430"/>
      <c r="D19" s="430"/>
      <c r="E19" s="430"/>
      <c r="F19" s="430"/>
      <c r="G19" s="184">
        <v>0</v>
      </c>
      <c r="H19" s="444" t="s">
        <v>80</v>
      </c>
      <c r="I19" s="445"/>
      <c r="J19" s="184">
        <v>0</v>
      </c>
      <c r="K19" s="188"/>
      <c r="L19" s="193"/>
      <c r="Q19" s="19" t="s">
        <v>47</v>
      </c>
      <c r="R19" s="9"/>
    </row>
    <row r="20" spans="1:19" ht="17.25" customHeight="1" x14ac:dyDescent="0.2">
      <c r="A20" s="141" t="s">
        <v>84</v>
      </c>
      <c r="B20" s="429" t="s">
        <v>335</v>
      </c>
      <c r="C20" s="429"/>
      <c r="D20" s="429"/>
      <c r="E20" s="429"/>
      <c r="F20" s="429"/>
      <c r="G20" s="142">
        <v>0</v>
      </c>
      <c r="H20" s="446"/>
      <c r="I20" s="447"/>
      <c r="J20" s="143"/>
      <c r="K20" s="144" t="s">
        <v>81</v>
      </c>
      <c r="L20" s="145">
        <f>SUM(+G18+G19+G20+J18+J19)</f>
        <v>0</v>
      </c>
      <c r="N20" s="6"/>
      <c r="O20" s="6"/>
      <c r="Q20" s="19"/>
      <c r="R20" s="9"/>
    </row>
    <row r="21" spans="1:19" ht="13.5" customHeight="1" thickBot="1" x14ac:dyDescent="0.25">
      <c r="A21" s="194"/>
      <c r="B21" s="195"/>
      <c r="C21" s="195"/>
      <c r="D21" s="196"/>
      <c r="E21" s="197" t="s">
        <v>54</v>
      </c>
      <c r="F21" s="195"/>
      <c r="G21" s="448">
        <f>(L9-L16)+L20</f>
        <v>709958</v>
      </c>
      <c r="H21" s="449"/>
      <c r="I21" s="198"/>
      <c r="J21" s="199"/>
      <c r="K21" s="200" t="s">
        <v>55</v>
      </c>
      <c r="L21" s="180">
        <f>CEILING(G21,10)</f>
        <v>709960</v>
      </c>
      <c r="Q21" s="19">
        <v>0</v>
      </c>
      <c r="R21" s="19" t="e">
        <f>IF(#REF!&lt;#REF!,#REF!,#REF!)</f>
        <v>#REF!</v>
      </c>
    </row>
    <row r="22" spans="1:19" ht="13.5" customHeight="1" thickBot="1" x14ac:dyDescent="0.25">
      <c r="A22" s="169" t="s">
        <v>130</v>
      </c>
      <c r="B22" s="170" t="s">
        <v>88</v>
      </c>
      <c r="C22" s="137"/>
      <c r="D22" s="137"/>
      <c r="E22" s="137"/>
      <c r="F22" s="115"/>
      <c r="G22" s="115"/>
      <c r="H22" s="137"/>
      <c r="I22" s="137"/>
      <c r="J22" s="137"/>
      <c r="K22" s="137"/>
      <c r="L22" s="137"/>
      <c r="Q22" s="19"/>
      <c r="R22" s="19" t="e">
        <f>IF(R21&lt;#REF!,R21,#REF!)</f>
        <v>#REF!</v>
      </c>
    </row>
    <row r="23" spans="1:19" ht="13.5" customHeight="1" x14ac:dyDescent="0.2">
      <c r="A23" s="201"/>
      <c r="B23" s="451" t="s">
        <v>57</v>
      </c>
      <c r="C23" s="451"/>
      <c r="D23" s="167"/>
      <c r="E23" s="167"/>
      <c r="F23" s="167"/>
      <c r="G23" s="167"/>
      <c r="H23" s="167"/>
      <c r="I23" s="167"/>
      <c r="J23" s="167"/>
      <c r="K23" s="167"/>
      <c r="L23" s="168"/>
    </row>
    <row r="24" spans="1:19" ht="16.5" customHeight="1" x14ac:dyDescent="0.2">
      <c r="A24" s="146">
        <v>1</v>
      </c>
      <c r="B24" s="440" t="s">
        <v>56</v>
      </c>
      <c r="C24" s="440"/>
      <c r="D24" s="441"/>
      <c r="E24" s="147">
        <f>'PAY Details'!M22</f>
        <v>97494</v>
      </c>
      <c r="F24" s="456" t="s">
        <v>91</v>
      </c>
      <c r="G24" s="457"/>
      <c r="H24" s="121">
        <f>'PAY Details'!Q22</f>
        <v>0</v>
      </c>
      <c r="I24" s="456" t="s">
        <v>82</v>
      </c>
      <c r="J24" s="457"/>
      <c r="K24" s="121">
        <f>'PAY Details'!T22</f>
        <v>4320</v>
      </c>
      <c r="L24" s="148"/>
      <c r="N24" s="12"/>
      <c r="O24" s="8"/>
    </row>
    <row r="25" spans="1:19" ht="16.5" customHeight="1" x14ac:dyDescent="0.2">
      <c r="A25" s="202">
        <v>4</v>
      </c>
      <c r="B25" s="452" t="s">
        <v>68</v>
      </c>
      <c r="C25" s="452"/>
      <c r="D25" s="453"/>
      <c r="E25" s="184">
        <v>0</v>
      </c>
      <c r="F25" s="458" t="s">
        <v>301</v>
      </c>
      <c r="G25" s="459"/>
      <c r="H25" s="184">
        <v>0</v>
      </c>
      <c r="I25" s="458" t="s">
        <v>303</v>
      </c>
      <c r="J25" s="459"/>
      <c r="K25" s="184">
        <v>0</v>
      </c>
      <c r="L25" s="203"/>
    </row>
    <row r="26" spans="1:19" ht="16.5" customHeight="1" x14ac:dyDescent="0.2">
      <c r="A26" s="149">
        <v>7</v>
      </c>
      <c r="B26" s="440" t="s">
        <v>340</v>
      </c>
      <c r="C26" s="454"/>
      <c r="D26" s="441"/>
      <c r="E26" s="121">
        <v>0</v>
      </c>
      <c r="F26" s="456" t="s">
        <v>83</v>
      </c>
      <c r="G26" s="457"/>
      <c r="H26" s="122">
        <v>0</v>
      </c>
      <c r="I26" s="456" t="s">
        <v>89</v>
      </c>
      <c r="J26" s="457"/>
      <c r="K26" s="121">
        <v>0</v>
      </c>
      <c r="L26" s="148"/>
      <c r="N26" s="5"/>
    </row>
    <row r="27" spans="1:19" ht="16.5" customHeight="1" x14ac:dyDescent="0.2">
      <c r="A27" s="202">
        <v>10</v>
      </c>
      <c r="B27" s="455" t="s">
        <v>380</v>
      </c>
      <c r="C27" s="455"/>
      <c r="D27" s="453"/>
      <c r="E27" s="184">
        <v>0</v>
      </c>
      <c r="F27" s="458" t="s">
        <v>86</v>
      </c>
      <c r="G27" s="459"/>
      <c r="H27" s="184">
        <v>0</v>
      </c>
      <c r="I27" s="458" t="s">
        <v>90</v>
      </c>
      <c r="J27" s="459"/>
      <c r="K27" s="184">
        <v>0</v>
      </c>
      <c r="L27" s="203"/>
      <c r="N27" s="5"/>
    </row>
    <row r="28" spans="1:19" ht="16.5" customHeight="1" x14ac:dyDescent="0.2">
      <c r="A28" s="146">
        <v>13</v>
      </c>
      <c r="B28" s="440" t="s">
        <v>384</v>
      </c>
      <c r="C28" s="440"/>
      <c r="D28" s="441"/>
      <c r="E28" s="150">
        <v>300</v>
      </c>
      <c r="F28" s="460" t="s">
        <v>401</v>
      </c>
      <c r="G28" s="461"/>
      <c r="H28" s="122">
        <f>+'PAY Details'!O22</f>
        <v>0</v>
      </c>
      <c r="I28" s="462" t="s">
        <v>341</v>
      </c>
      <c r="J28" s="463"/>
      <c r="K28" s="123">
        <v>0</v>
      </c>
      <c r="L28" s="121">
        <f>SUM(H28+K28)</f>
        <v>0</v>
      </c>
      <c r="M28" s="37" t="s">
        <v>351</v>
      </c>
      <c r="N28" s="57">
        <f>+L28-'PAY Details'!Z22</f>
        <v>-101814</v>
      </c>
    </row>
    <row r="29" spans="1:19" ht="13.5" customHeight="1" thickBot="1" x14ac:dyDescent="0.25">
      <c r="A29" s="204"/>
      <c r="B29" s="199"/>
      <c r="C29" s="199"/>
      <c r="D29" s="199"/>
      <c r="E29" s="205"/>
      <c r="F29" s="204"/>
      <c r="G29" s="199"/>
      <c r="H29" s="199"/>
      <c r="I29" s="206"/>
      <c r="J29" s="199"/>
      <c r="K29" s="207" t="s">
        <v>414</v>
      </c>
      <c r="L29" s="208">
        <f>IF(L28&lt;150001,L28,150000)</f>
        <v>0</v>
      </c>
      <c r="N29" s="5"/>
    </row>
    <row r="30" spans="1:19" ht="13.5" customHeight="1" x14ac:dyDescent="0.2">
      <c r="A30" s="129"/>
      <c r="B30" s="129"/>
      <c r="C30" s="129"/>
      <c r="D30" s="129"/>
      <c r="E30" s="129"/>
      <c r="F30" s="129"/>
      <c r="G30" s="129"/>
      <c r="H30" s="129"/>
      <c r="I30" s="151"/>
      <c r="J30" s="152" t="s">
        <v>402</v>
      </c>
      <c r="K30" s="121">
        <f>+'PAY Details'!N22</f>
        <v>0</v>
      </c>
      <c r="L30" s="153">
        <f>+IF(K30&lt;N30,K30,N30)</f>
        <v>0</v>
      </c>
      <c r="M30" s="60">
        <f>+L9-50000</f>
        <v>662458</v>
      </c>
      <c r="N30" s="5">
        <f>ROUND(M30*20%,0)</f>
        <v>132492</v>
      </c>
      <c r="Q30" s="1">
        <f>+IF(L28&gt;150000,L28-L29,0)</f>
        <v>0</v>
      </c>
    </row>
    <row r="31" spans="1:19" ht="13.5" customHeight="1" x14ac:dyDescent="0.2">
      <c r="A31" s="188"/>
      <c r="B31" s="188"/>
      <c r="C31" s="188"/>
      <c r="D31" s="188"/>
      <c r="E31" s="188"/>
      <c r="F31" s="188"/>
      <c r="G31" s="188"/>
      <c r="H31" s="188"/>
      <c r="I31" s="209"/>
      <c r="J31" s="210" t="s">
        <v>358</v>
      </c>
      <c r="K31" s="184">
        <f>+IF(L28&gt;150000,L28-L29,K28)</f>
        <v>0</v>
      </c>
      <c r="L31" s="211">
        <f>+IF('Input Data'!D22="Yes",M31,K28)</f>
        <v>0</v>
      </c>
      <c r="M31" s="1">
        <f>+IF(K31&lt;50000,K31,50000)</f>
        <v>0</v>
      </c>
      <c r="N31" s="5">
        <f>+IF(L28&gt;150000,150000-H28,0)</f>
        <v>0</v>
      </c>
      <c r="O31" s="60">
        <f>+H28-N31</f>
        <v>0</v>
      </c>
    </row>
    <row r="32" spans="1:19" ht="13.5" customHeight="1" x14ac:dyDescent="0.2">
      <c r="A32" s="129"/>
      <c r="B32" s="129"/>
      <c r="C32" s="129"/>
      <c r="D32" s="129"/>
      <c r="E32" s="129"/>
      <c r="F32" s="129"/>
      <c r="G32" s="129"/>
      <c r="H32" s="129"/>
      <c r="I32" s="151"/>
      <c r="J32" s="154" t="s">
        <v>383</v>
      </c>
      <c r="K32" s="155"/>
      <c r="L32" s="153">
        <v>0</v>
      </c>
      <c r="N32" s="5"/>
      <c r="O32" s="60"/>
    </row>
    <row r="33" spans="1:24" ht="13.5" customHeight="1" thickBot="1" x14ac:dyDescent="0.25">
      <c r="A33" s="212" t="s">
        <v>131</v>
      </c>
      <c r="B33" s="213" t="s">
        <v>92</v>
      </c>
      <c r="C33" s="166"/>
      <c r="D33" s="166"/>
      <c r="E33" s="166"/>
      <c r="F33" s="166"/>
      <c r="G33" s="166"/>
      <c r="H33" s="188"/>
      <c r="I33" s="188"/>
      <c r="J33" s="210"/>
      <c r="K33" s="188"/>
      <c r="L33" s="214"/>
    </row>
    <row r="34" spans="1:24" ht="17.25" customHeight="1" x14ac:dyDescent="0.2">
      <c r="A34" s="138">
        <v>1</v>
      </c>
      <c r="B34" s="467" t="s">
        <v>127</v>
      </c>
      <c r="C34" s="467"/>
      <c r="D34" s="467"/>
      <c r="E34" s="467"/>
      <c r="F34" s="467"/>
      <c r="G34" s="468"/>
      <c r="H34" s="157">
        <v>0</v>
      </c>
      <c r="I34" s="466" t="s">
        <v>103</v>
      </c>
      <c r="J34" s="467"/>
      <c r="K34" s="468"/>
      <c r="L34" s="158">
        <v>0</v>
      </c>
      <c r="M34" s="1">
        <f>ROUND((+'PAY Details'!C11+'PAY Details'!D11)*1/30,0)</f>
        <v>1650</v>
      </c>
    </row>
    <row r="35" spans="1:24" ht="17.25" customHeight="1" x14ac:dyDescent="0.2">
      <c r="A35" s="192">
        <v>3</v>
      </c>
      <c r="B35" s="455" t="s">
        <v>128</v>
      </c>
      <c r="C35" s="455"/>
      <c r="D35" s="455"/>
      <c r="E35" s="455"/>
      <c r="F35" s="455"/>
      <c r="G35" s="459"/>
      <c r="H35" s="215">
        <v>0</v>
      </c>
      <c r="I35" s="458" t="s">
        <v>87</v>
      </c>
      <c r="J35" s="455"/>
      <c r="K35" s="459"/>
      <c r="L35" s="216">
        <v>0</v>
      </c>
    </row>
    <row r="36" spans="1:24" ht="17.25" customHeight="1" x14ac:dyDescent="0.2">
      <c r="A36" s="140">
        <v>5</v>
      </c>
      <c r="B36" s="440" t="s">
        <v>391</v>
      </c>
      <c r="C36" s="440"/>
      <c r="D36" s="440"/>
      <c r="E36" s="440"/>
      <c r="F36" s="440"/>
      <c r="G36" s="457"/>
      <c r="H36" s="159">
        <v>0</v>
      </c>
      <c r="I36" s="456" t="s">
        <v>93</v>
      </c>
      <c r="J36" s="440"/>
      <c r="K36" s="457"/>
      <c r="L36" s="160">
        <v>0</v>
      </c>
    </row>
    <row r="37" spans="1:24" ht="17.25" customHeight="1" x14ac:dyDescent="0.2">
      <c r="A37" s="192">
        <v>7</v>
      </c>
      <c r="B37" s="455" t="s">
        <v>314</v>
      </c>
      <c r="C37" s="455"/>
      <c r="D37" s="455"/>
      <c r="E37" s="455"/>
      <c r="F37" s="455"/>
      <c r="G37" s="459"/>
      <c r="H37" s="215">
        <v>0</v>
      </c>
      <c r="I37" s="458" t="s">
        <v>104</v>
      </c>
      <c r="J37" s="455"/>
      <c r="K37" s="459"/>
      <c r="L37" s="216">
        <v>0</v>
      </c>
      <c r="N37" s="37"/>
      <c r="O37" s="37"/>
      <c r="P37" s="37"/>
      <c r="Q37" s="37"/>
    </row>
    <row r="38" spans="1:24" ht="17.25" customHeight="1" x14ac:dyDescent="0.2">
      <c r="A38" s="140">
        <v>9</v>
      </c>
      <c r="B38" s="440" t="s">
        <v>94</v>
      </c>
      <c r="C38" s="440"/>
      <c r="D38" s="440"/>
      <c r="E38" s="440"/>
      <c r="F38" s="440"/>
      <c r="G38" s="457"/>
      <c r="H38" s="159">
        <f>IF(J18&gt;10000,10000,J18)</f>
        <v>0</v>
      </c>
      <c r="I38" s="456" t="s">
        <v>106</v>
      </c>
      <c r="J38" s="440"/>
      <c r="K38" s="457"/>
      <c r="L38" s="160">
        <v>0</v>
      </c>
      <c r="N38" s="37"/>
      <c r="O38" s="37"/>
      <c r="P38" s="37"/>
      <c r="Q38" s="37"/>
      <c r="R38" s="37"/>
      <c r="S38" s="1">
        <f>J43-160000</f>
        <v>549960</v>
      </c>
      <c r="T38" s="1">
        <f>S38*10/100</f>
        <v>54996</v>
      </c>
    </row>
    <row r="39" spans="1:24" ht="17.25" customHeight="1" x14ac:dyDescent="0.2">
      <c r="A39" s="217">
        <v>11</v>
      </c>
      <c r="B39" s="464" t="s">
        <v>105</v>
      </c>
      <c r="C39" s="464"/>
      <c r="D39" s="464"/>
      <c r="E39" s="464"/>
      <c r="F39" s="464"/>
      <c r="G39" s="465"/>
      <c r="H39" s="218"/>
      <c r="I39" s="219"/>
      <c r="J39" s="220"/>
      <c r="K39" s="221"/>
      <c r="L39" s="222"/>
      <c r="N39" s="37"/>
      <c r="O39" s="37"/>
      <c r="P39" s="37"/>
      <c r="Q39" s="37"/>
      <c r="R39" s="37"/>
    </row>
    <row r="40" spans="1:24" ht="13.5" customHeight="1" x14ac:dyDescent="0.2">
      <c r="A40" s="140"/>
      <c r="B40" s="161"/>
      <c r="C40" s="129"/>
      <c r="D40" s="129"/>
      <c r="E40" s="129"/>
      <c r="F40" s="129"/>
      <c r="G40" s="129"/>
      <c r="H40" s="129"/>
      <c r="I40" s="129"/>
      <c r="J40" s="129" t="s">
        <v>33</v>
      </c>
      <c r="K40" s="162">
        <f>SUM(H34+H35+H36+H37+H38+L34+L35+L36+L37+L38+H39)</f>
        <v>0</v>
      </c>
      <c r="L40" s="163">
        <f>K40</f>
        <v>0</v>
      </c>
      <c r="N40" s="37"/>
      <c r="O40" s="37"/>
      <c r="P40" s="37"/>
      <c r="Q40" s="37"/>
      <c r="R40" s="37"/>
    </row>
    <row r="41" spans="1:24" ht="13.5" customHeight="1" thickBot="1" x14ac:dyDescent="0.25">
      <c r="A41" s="223"/>
      <c r="B41" s="199"/>
      <c r="C41" s="199"/>
      <c r="D41" s="198"/>
      <c r="E41" s="199"/>
      <c r="F41" s="199"/>
      <c r="G41" s="199"/>
      <c r="H41" s="199"/>
      <c r="I41" s="198"/>
      <c r="J41" s="207" t="s">
        <v>95</v>
      </c>
      <c r="K41" s="224">
        <f>L29+L40+L30+L31+L32</f>
        <v>0</v>
      </c>
      <c r="L41" s="225"/>
      <c r="Q41" s="40"/>
      <c r="R41" s="37"/>
    </row>
    <row r="42" spans="1:24" ht="7.5" customHeight="1" x14ac:dyDescent="0.2">
      <c r="A42" s="116"/>
      <c r="B42" s="114"/>
      <c r="C42" s="114"/>
      <c r="D42" s="115"/>
      <c r="E42" s="114"/>
      <c r="F42" s="114"/>
      <c r="G42" s="114"/>
      <c r="H42" s="114"/>
      <c r="I42" s="137"/>
      <c r="J42" s="114"/>
      <c r="K42" s="164"/>
      <c r="L42" s="137"/>
      <c r="Q42" s="37"/>
      <c r="R42" s="37"/>
    </row>
    <row r="43" spans="1:24" ht="15" customHeight="1" x14ac:dyDescent="0.2">
      <c r="A43" s="376" t="s">
        <v>132</v>
      </c>
      <c r="B43" s="377" t="s">
        <v>96</v>
      </c>
      <c r="C43" s="378"/>
      <c r="D43" s="378"/>
      <c r="E43" s="378"/>
      <c r="F43" s="378"/>
      <c r="G43" s="378"/>
      <c r="H43" s="379"/>
      <c r="I43" s="380"/>
      <c r="J43" s="428">
        <f>+L21-K41</f>
        <v>709960</v>
      </c>
      <c r="K43" s="428"/>
      <c r="L43" s="191"/>
      <c r="M43" s="428">
        <f>O21-N41</f>
        <v>0</v>
      </c>
      <c r="N43" s="428"/>
      <c r="O43" s="37"/>
      <c r="P43" s="37"/>
      <c r="Q43" s="37"/>
      <c r="R43" s="37"/>
    </row>
    <row r="44" spans="1:24" ht="15" customHeight="1" x14ac:dyDescent="0.2">
      <c r="A44" s="381" t="s">
        <v>133</v>
      </c>
      <c r="B44" s="382" t="s">
        <v>97</v>
      </c>
      <c r="C44" s="383"/>
      <c r="D44" s="384"/>
      <c r="E44" s="385"/>
      <c r="F44" s="385"/>
      <c r="G44" s="385"/>
      <c r="H44" s="383"/>
      <c r="I44" s="386"/>
      <c r="J44" s="436">
        <f>VLOOKUP(J43,Q45:R52,2)</f>
        <v>33496</v>
      </c>
      <c r="K44" s="436"/>
      <c r="L44" s="165"/>
      <c r="N44" s="37"/>
      <c r="O44" s="37"/>
      <c r="P44" s="37"/>
      <c r="Q44" s="13"/>
      <c r="R44" s="37"/>
    </row>
    <row r="45" spans="1:24" ht="15" customHeight="1" x14ac:dyDescent="0.2">
      <c r="A45" s="387" t="s">
        <v>134</v>
      </c>
      <c r="B45" s="388" t="s">
        <v>394</v>
      </c>
      <c r="C45" s="389"/>
      <c r="D45" s="390"/>
      <c r="E45" s="389"/>
      <c r="F45" s="389"/>
      <c r="G45" s="389"/>
      <c r="H45" s="391"/>
      <c r="I45" s="392"/>
      <c r="J45" s="437">
        <v>0</v>
      </c>
      <c r="K45" s="437"/>
      <c r="L45" s="226"/>
      <c r="N45" s="37"/>
      <c r="O45" s="37"/>
      <c r="P45" s="37"/>
      <c r="Q45" s="18">
        <v>0</v>
      </c>
      <c r="R45" s="13"/>
      <c r="U45" s="18">
        <v>0</v>
      </c>
      <c r="V45" s="13"/>
    </row>
    <row r="46" spans="1:24" ht="15" customHeight="1" x14ac:dyDescent="0.2">
      <c r="A46" s="381" t="s">
        <v>135</v>
      </c>
      <c r="B46" s="393" t="s">
        <v>98</v>
      </c>
      <c r="C46" s="385"/>
      <c r="D46" s="384"/>
      <c r="E46" s="385"/>
      <c r="F46" s="385"/>
      <c r="G46" s="385"/>
      <c r="H46" s="383"/>
      <c r="I46" s="386"/>
      <c r="J46" s="436">
        <f>J44-J45</f>
        <v>33496</v>
      </c>
      <c r="K46" s="436"/>
      <c r="L46" s="165"/>
      <c r="N46" s="37"/>
      <c r="O46" s="37"/>
      <c r="P46" s="37"/>
      <c r="Q46" s="18">
        <v>250000</v>
      </c>
      <c r="R46" s="18">
        <v>0</v>
      </c>
      <c r="T46" s="28"/>
      <c r="U46" s="18">
        <v>250000</v>
      </c>
      <c r="V46" s="18">
        <v>0</v>
      </c>
      <c r="X46" s="28"/>
    </row>
    <row r="47" spans="1:24" ht="15" customHeight="1" x14ac:dyDescent="0.2">
      <c r="A47" s="387" t="s">
        <v>136</v>
      </c>
      <c r="B47" s="394" t="s">
        <v>386</v>
      </c>
      <c r="C47" s="391"/>
      <c r="D47" s="391"/>
      <c r="E47" s="391"/>
      <c r="F47" s="391"/>
      <c r="G47" s="391"/>
      <c r="H47" s="391"/>
      <c r="I47" s="392"/>
      <c r="J47" s="437">
        <f>ROUND(J46*4/100,0)</f>
        <v>1340</v>
      </c>
      <c r="K47" s="437"/>
      <c r="L47" s="226"/>
      <c r="N47" s="37"/>
      <c r="O47" s="37"/>
      <c r="P47" s="37"/>
      <c r="Q47" s="18">
        <v>500000</v>
      </c>
      <c r="R47" s="18">
        <f>ROUND((J43-250000)*0.05,0)</f>
        <v>22998</v>
      </c>
      <c r="S47" s="28"/>
      <c r="U47" s="18">
        <v>500000</v>
      </c>
      <c r="V47" s="18">
        <f>ROUND((J43-250000)*0.05,0)</f>
        <v>22998</v>
      </c>
      <c r="W47" s="28"/>
    </row>
    <row r="48" spans="1:24" ht="15" customHeight="1" x14ac:dyDescent="0.2">
      <c r="A48" s="381" t="s">
        <v>137</v>
      </c>
      <c r="B48" s="382" t="s">
        <v>99</v>
      </c>
      <c r="C48" s="385"/>
      <c r="D48" s="385"/>
      <c r="E48" s="385"/>
      <c r="F48" s="385"/>
      <c r="G48" s="385"/>
      <c r="H48" s="383"/>
      <c r="I48" s="386"/>
      <c r="J48" s="436">
        <f>J46+J47</f>
        <v>34836</v>
      </c>
      <c r="K48" s="436"/>
      <c r="L48" s="165"/>
      <c r="M48" s="37"/>
      <c r="N48" s="37"/>
      <c r="O48" s="37"/>
      <c r="P48" s="37"/>
      <c r="Q48" s="18">
        <v>500001</v>
      </c>
      <c r="R48" s="18">
        <f>ROUND((J43-500000)*0.1+12500,0)</f>
        <v>33496</v>
      </c>
      <c r="S48" s="28"/>
      <c r="U48" s="18">
        <v>500001</v>
      </c>
      <c r="V48" s="18">
        <f>ROUND((J43-500000)*0.2+12500,0)</f>
        <v>54492</v>
      </c>
      <c r="W48" s="28"/>
    </row>
    <row r="49" spans="1:24" ht="15" customHeight="1" x14ac:dyDescent="0.2">
      <c r="A49" s="387" t="s">
        <v>138</v>
      </c>
      <c r="B49" s="394" t="s">
        <v>100</v>
      </c>
      <c r="C49" s="391"/>
      <c r="D49" s="391"/>
      <c r="E49" s="391"/>
      <c r="F49" s="391"/>
      <c r="G49" s="391"/>
      <c r="H49" s="391"/>
      <c r="I49" s="392"/>
      <c r="J49" s="437">
        <v>0</v>
      </c>
      <c r="K49" s="437"/>
      <c r="L49" s="226"/>
      <c r="M49" s="37"/>
      <c r="N49" s="37"/>
      <c r="O49" s="37"/>
      <c r="P49" s="37"/>
      <c r="Q49" s="37">
        <v>750001</v>
      </c>
      <c r="R49" s="18">
        <f>ROUND((J43-750000)*0.15+37500,0)</f>
        <v>31494</v>
      </c>
      <c r="S49" s="28"/>
      <c r="U49" s="37">
        <v>1000000</v>
      </c>
      <c r="V49" s="18">
        <f>ROUND((J43-1000000)*0.3+112500,0)</f>
        <v>25488</v>
      </c>
      <c r="W49" s="28"/>
    </row>
    <row r="50" spans="1:24" ht="15" customHeight="1" x14ac:dyDescent="0.2">
      <c r="A50" s="381" t="s">
        <v>139</v>
      </c>
      <c r="B50" s="395" t="s">
        <v>101</v>
      </c>
      <c r="C50" s="385"/>
      <c r="D50" s="385"/>
      <c r="E50" s="385"/>
      <c r="F50" s="385"/>
      <c r="G50" s="385"/>
      <c r="H50" s="383"/>
      <c r="I50" s="396"/>
      <c r="J50" s="436">
        <f>+J48-J49</f>
        <v>34836</v>
      </c>
      <c r="K50" s="436"/>
      <c r="L50" s="137"/>
      <c r="M50" s="37"/>
      <c r="P50" s="37"/>
      <c r="Q50" s="38">
        <v>1000001</v>
      </c>
      <c r="R50" s="18">
        <f>ROUND((J43-1000000)*0.2+75000,0)</f>
        <v>16992</v>
      </c>
      <c r="U50" s="38">
        <f>IF(N43&lt;350001,350000,0)</f>
        <v>350000</v>
      </c>
      <c r="V50" s="37"/>
    </row>
    <row r="51" spans="1:24" ht="15" customHeight="1" x14ac:dyDescent="0.2">
      <c r="A51" s="387" t="s">
        <v>140</v>
      </c>
      <c r="B51" s="394" t="s">
        <v>102</v>
      </c>
      <c r="C51" s="391"/>
      <c r="D51" s="391"/>
      <c r="E51" s="397"/>
      <c r="F51" s="391"/>
      <c r="G51" s="391"/>
      <c r="H51" s="391"/>
      <c r="I51" s="398"/>
      <c r="J51" s="437">
        <f>+'PAY Details'!S22</f>
        <v>0</v>
      </c>
      <c r="K51" s="437"/>
      <c r="L51" s="227"/>
      <c r="M51" s="37"/>
      <c r="P51" s="37"/>
      <c r="Q51" s="37">
        <v>1250001</v>
      </c>
      <c r="R51" s="18">
        <f>ROUND((J43-1250000)*0.25+125000,0)</f>
        <v>-10010</v>
      </c>
      <c r="S51" s="37"/>
      <c r="T51" s="37"/>
      <c r="U51" s="37"/>
      <c r="V51" s="38">
        <f>IF(N44&lt;12500,N44,12500)</f>
        <v>0</v>
      </c>
      <c r="W51" s="37"/>
      <c r="X51" s="37"/>
    </row>
    <row r="52" spans="1:24" ht="15" customHeight="1" x14ac:dyDescent="0.2">
      <c r="A52" s="381" t="s">
        <v>141</v>
      </c>
      <c r="B52" s="395" t="s">
        <v>327</v>
      </c>
      <c r="C52" s="385"/>
      <c r="D52" s="385"/>
      <c r="E52" s="385"/>
      <c r="F52" s="399"/>
      <c r="G52" s="400" t="str">
        <f>IF((J50-J51)&lt;0,"Refundable","Tax Payble")</f>
        <v>Tax Payble</v>
      </c>
      <c r="H52" s="383"/>
      <c r="I52" s="386"/>
      <c r="J52" s="439">
        <f>+ABS(J50-J51)</f>
        <v>34836</v>
      </c>
      <c r="K52" s="439"/>
      <c r="L52" s="165"/>
      <c r="Q52" s="14">
        <v>1500000</v>
      </c>
      <c r="R52" s="18">
        <f>ROUND((J43-1500000)*0.3+187500,0)</f>
        <v>-49512</v>
      </c>
      <c r="S52" s="37"/>
      <c r="T52" s="37"/>
      <c r="U52" s="14">
        <f>$Q$1</f>
        <v>3</v>
      </c>
      <c r="V52" s="37"/>
      <c r="W52" s="37"/>
      <c r="X52" s="37"/>
    </row>
    <row r="53" spans="1:24" ht="13.5" customHeight="1" x14ac:dyDescent="0.2">
      <c r="A53" s="401"/>
      <c r="B53" s="402" t="s">
        <v>326</v>
      </c>
      <c r="C53" s="403"/>
      <c r="D53" s="403"/>
      <c r="E53" s="403"/>
      <c r="F53" s="403"/>
      <c r="G53" s="404"/>
      <c r="H53" s="403"/>
      <c r="I53" s="405"/>
      <c r="J53" s="438">
        <f>IF(J52&lt;=0,(ABS(J48-(J49+J50+J51))),0)</f>
        <v>0</v>
      </c>
      <c r="K53" s="438"/>
      <c r="L53" s="228"/>
      <c r="Q53" s="15"/>
      <c r="R53" s="16"/>
      <c r="S53" s="17"/>
      <c r="T53" s="37"/>
      <c r="U53" s="15">
        <f>N52/U52</f>
        <v>0</v>
      </c>
      <c r="V53" s="16" t="s">
        <v>60</v>
      </c>
      <c r="W53" s="17"/>
      <c r="X53" s="37"/>
    </row>
    <row r="54" spans="1:24" ht="13.5" customHeight="1" x14ac:dyDescent="0.2">
      <c r="A54" s="156"/>
      <c r="B54" s="156"/>
      <c r="C54" s="156"/>
      <c r="D54" s="156"/>
      <c r="E54" s="156"/>
      <c r="F54" s="156"/>
      <c r="G54" s="156"/>
      <c r="H54" s="156"/>
      <c r="I54" s="156"/>
      <c r="J54" s="156" t="s">
        <v>38</v>
      </c>
      <c r="K54" s="156"/>
      <c r="L54" s="156"/>
      <c r="M54" s="37"/>
      <c r="Q54" s="37"/>
      <c r="R54" s="16"/>
      <c r="S54" s="17"/>
      <c r="T54" s="37"/>
      <c r="U54" s="37"/>
      <c r="V54" s="16" t="s">
        <v>61</v>
      </c>
      <c r="W54" s="17"/>
      <c r="X54" s="37"/>
    </row>
    <row r="55" spans="1:24" ht="11.25" customHeight="1" x14ac:dyDescent="0.2">
      <c r="A55" s="229"/>
      <c r="B55" s="229"/>
      <c r="C55" s="229"/>
      <c r="D55" s="229"/>
      <c r="E55" s="229"/>
      <c r="F55" s="229"/>
      <c r="G55" s="229"/>
      <c r="H55" s="229"/>
      <c r="I55" s="229"/>
      <c r="J55" s="166"/>
      <c r="K55" s="229"/>
      <c r="L55" s="229"/>
      <c r="M55" s="37"/>
      <c r="Q55" s="37"/>
      <c r="R55" s="37"/>
      <c r="S55" s="37"/>
      <c r="T55" s="37"/>
    </row>
    <row r="56" spans="1:24" ht="10.5" customHeight="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50" t="str">
        <f>'Input Data'!D10</f>
        <v>Shri Pramod Mahadeo Puri</v>
      </c>
      <c r="K56" s="114"/>
      <c r="L56" s="114"/>
      <c r="M56" s="37"/>
      <c r="R56" s="37"/>
      <c r="S56" s="37"/>
      <c r="T56" s="37"/>
    </row>
    <row r="57" spans="1:24" ht="13.5" customHeight="1" x14ac:dyDescent="0.2">
      <c r="A57" s="166"/>
      <c r="B57" s="229" t="s">
        <v>37</v>
      </c>
      <c r="C57" s="229"/>
      <c r="D57" s="229"/>
      <c r="E57" s="229"/>
      <c r="F57" s="229"/>
      <c r="G57" s="166"/>
      <c r="H57" s="166"/>
      <c r="I57" s="166"/>
      <c r="J57" s="230" t="str">
        <f>+'Input Data'!D11</f>
        <v>Senior Clerk</v>
      </c>
      <c r="K57" s="166"/>
      <c r="L57" s="166"/>
      <c r="M57" s="37"/>
    </row>
    <row r="59" spans="1:24" ht="13.5" customHeight="1" x14ac:dyDescent="0.2">
      <c r="R59" s="38">
        <f>IF(J44&lt;12500,J44,12500)</f>
        <v>12500</v>
      </c>
    </row>
    <row r="64" spans="1:24" ht="13.5" customHeight="1" x14ac:dyDescent="0.2">
      <c r="H64" s="37" t="s">
        <v>157</v>
      </c>
    </row>
  </sheetData>
  <mergeCells count="59">
    <mergeCell ref="B39:G39"/>
    <mergeCell ref="I34:K34"/>
    <mergeCell ref="I35:K35"/>
    <mergeCell ref="I36:K36"/>
    <mergeCell ref="I37:K37"/>
    <mergeCell ref="I38:K38"/>
    <mergeCell ref="B34:G34"/>
    <mergeCell ref="B35:G35"/>
    <mergeCell ref="B36:G36"/>
    <mergeCell ref="B37:G37"/>
    <mergeCell ref="B38:G38"/>
    <mergeCell ref="F28:G28"/>
    <mergeCell ref="I24:J24"/>
    <mergeCell ref="I25:J25"/>
    <mergeCell ref="I26:J26"/>
    <mergeCell ref="I27:J27"/>
    <mergeCell ref="I28:J28"/>
    <mergeCell ref="B26:D26"/>
    <mergeCell ref="B27:D27"/>
    <mergeCell ref="F24:G24"/>
    <mergeCell ref="F25:G25"/>
    <mergeCell ref="F26:G26"/>
    <mergeCell ref="F27:G27"/>
    <mergeCell ref="J44:K44"/>
    <mergeCell ref="J45:K45"/>
    <mergeCell ref="J46:K46"/>
    <mergeCell ref="J47:K47"/>
    <mergeCell ref="J53:K53"/>
    <mergeCell ref="J48:K48"/>
    <mergeCell ref="J49:K49"/>
    <mergeCell ref="J50:K50"/>
    <mergeCell ref="J51:K51"/>
    <mergeCell ref="J52:K52"/>
    <mergeCell ref="B11:F11"/>
    <mergeCell ref="B12:F12"/>
    <mergeCell ref="B13:F13"/>
    <mergeCell ref="B14:F14"/>
    <mergeCell ref="J43:K43"/>
    <mergeCell ref="B28:D28"/>
    <mergeCell ref="B20:F20"/>
    <mergeCell ref="H18:I18"/>
    <mergeCell ref="H19:I19"/>
    <mergeCell ref="H20:I20"/>
    <mergeCell ref="G21:H21"/>
    <mergeCell ref="B18:F18"/>
    <mergeCell ref="B19:F19"/>
    <mergeCell ref="B23:C23"/>
    <mergeCell ref="B24:D24"/>
    <mergeCell ref="B25:D25"/>
    <mergeCell ref="A1:L1"/>
    <mergeCell ref="A2:L2"/>
    <mergeCell ref="A3:L3"/>
    <mergeCell ref="I8:J8"/>
    <mergeCell ref="I9:J9"/>
    <mergeCell ref="M43:N43"/>
    <mergeCell ref="H11:K11"/>
    <mergeCell ref="H12:K12"/>
    <mergeCell ref="H13:K13"/>
    <mergeCell ref="H14:K14"/>
  </mergeCells>
  <phoneticPr fontId="2" type="noConversion"/>
  <printOptions horizontalCentered="1"/>
  <pageMargins left="0.6692913385826772" right="0.31496062992125984" top="0.31496062992125984" bottom="0.19685039370078741" header="0.11811023622047245" footer="0"/>
  <pageSetup paperSize="9" scale="90" orientation="portrait" verticalDpi="180" r:id="rId1"/>
  <headerFooter alignWithMargins="0">
    <oddFooter>&amp;L&amp;Z&amp;F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O30"/>
  <sheetViews>
    <sheetView topLeftCell="A10" zoomScale="145" zoomScaleNormal="145" workbookViewId="0">
      <selection activeCell="E30" sqref="E30"/>
    </sheetView>
  </sheetViews>
  <sheetFormatPr defaultRowHeight="12.75" x14ac:dyDescent="0.2"/>
  <cols>
    <col min="3" max="3" width="42.42578125" customWidth="1"/>
    <col min="4" max="4" width="24" customWidth="1"/>
    <col min="5" max="5" width="24.28515625" customWidth="1"/>
    <col min="9" max="9" width="13.7109375" bestFit="1" customWidth="1"/>
  </cols>
  <sheetData>
    <row r="7" spans="3:5" x14ac:dyDescent="0.2">
      <c r="C7" s="617" t="s">
        <v>417</v>
      </c>
      <c r="D7" s="617" t="s">
        <v>418</v>
      </c>
      <c r="E7" s="617" t="s">
        <v>419</v>
      </c>
    </row>
    <row r="8" spans="3:5" x14ac:dyDescent="0.2">
      <c r="C8" s="618" t="s">
        <v>415</v>
      </c>
      <c r="D8" s="619">
        <v>4000000</v>
      </c>
      <c r="E8" s="619">
        <f>+D8</f>
        <v>4000000</v>
      </c>
    </row>
    <row r="9" spans="3:5" x14ac:dyDescent="0.2">
      <c r="C9" s="617" t="s">
        <v>58</v>
      </c>
      <c r="D9" s="620">
        <v>2500</v>
      </c>
      <c r="E9" s="620">
        <v>0</v>
      </c>
    </row>
    <row r="10" spans="3:5" x14ac:dyDescent="0.2">
      <c r="C10" s="618" t="s">
        <v>85</v>
      </c>
      <c r="D10" s="619">
        <v>0</v>
      </c>
      <c r="E10" s="619">
        <v>0</v>
      </c>
    </row>
    <row r="11" spans="3:5" x14ac:dyDescent="0.2">
      <c r="C11" s="617" t="s">
        <v>353</v>
      </c>
      <c r="D11" s="620">
        <v>0</v>
      </c>
      <c r="E11" s="620">
        <v>0</v>
      </c>
    </row>
    <row r="12" spans="3:5" x14ac:dyDescent="0.2">
      <c r="C12" s="618" t="s">
        <v>57</v>
      </c>
      <c r="D12" s="619">
        <v>150000</v>
      </c>
      <c r="E12" s="619">
        <v>0</v>
      </c>
    </row>
    <row r="13" spans="3:5" x14ac:dyDescent="0.2">
      <c r="C13" s="617" t="s">
        <v>401</v>
      </c>
      <c r="D13" s="620">
        <v>0</v>
      </c>
      <c r="E13" s="620">
        <f>+D13</f>
        <v>0</v>
      </c>
    </row>
    <row r="14" spans="3:5" x14ac:dyDescent="0.2">
      <c r="C14" s="618" t="s">
        <v>341</v>
      </c>
      <c r="D14" s="619">
        <v>0</v>
      </c>
      <c r="E14" s="619">
        <f t="shared" ref="E14:E15" si="0">+D14</f>
        <v>0</v>
      </c>
    </row>
    <row r="15" spans="3:5" x14ac:dyDescent="0.2">
      <c r="C15" s="617" t="s">
        <v>423</v>
      </c>
      <c r="D15" s="620">
        <v>0</v>
      </c>
      <c r="E15" s="620">
        <f t="shared" si="0"/>
        <v>0</v>
      </c>
    </row>
    <row r="16" spans="3:5" x14ac:dyDescent="0.2">
      <c r="C16" s="618" t="s">
        <v>383</v>
      </c>
      <c r="D16" s="619">
        <v>50000</v>
      </c>
      <c r="E16" s="619">
        <v>0</v>
      </c>
    </row>
    <row r="17" spans="3:15" x14ac:dyDescent="0.2">
      <c r="C17" s="617" t="s">
        <v>416</v>
      </c>
      <c r="D17" s="620">
        <v>0</v>
      </c>
      <c r="E17" s="620">
        <v>0</v>
      </c>
    </row>
    <row r="18" spans="3:15" x14ac:dyDescent="0.2">
      <c r="C18" s="618" t="s">
        <v>420</v>
      </c>
      <c r="D18" s="619">
        <f>SUM(D9:D17)</f>
        <v>202500</v>
      </c>
      <c r="E18" s="619">
        <f>SUM(E9:E17)</f>
        <v>0</v>
      </c>
    </row>
    <row r="19" spans="3:15" x14ac:dyDescent="0.2">
      <c r="C19" s="617" t="s">
        <v>96</v>
      </c>
      <c r="D19" s="620">
        <f>+D8-D18</f>
        <v>3797500</v>
      </c>
      <c r="E19" s="620">
        <f>+E8-E18</f>
        <v>4000000</v>
      </c>
    </row>
    <row r="20" spans="3:15" x14ac:dyDescent="0.2">
      <c r="C20" s="618" t="s">
        <v>97</v>
      </c>
      <c r="D20" s="619">
        <f>VLOOKUP(D19,N23:O27,2)</f>
        <v>951750</v>
      </c>
      <c r="E20" s="619">
        <f>VLOOKUP(E19,K23:L31,2)</f>
        <v>937500</v>
      </c>
      <c r="I20">
        <v>507000</v>
      </c>
      <c r="L20" s="41" t="s">
        <v>421</v>
      </c>
    </row>
    <row r="21" spans="3:15" x14ac:dyDescent="0.2">
      <c r="C21" s="617" t="s">
        <v>386</v>
      </c>
      <c r="D21" s="620">
        <f>ROUND(D20*4/100,0)</f>
        <v>38070</v>
      </c>
      <c r="E21" s="620">
        <f>ROUND(E20*4/100,0)</f>
        <v>37500</v>
      </c>
      <c r="I21" s="612">
        <f>+E22</f>
        <v>975000</v>
      </c>
      <c r="L21" s="41" t="s">
        <v>422</v>
      </c>
    </row>
    <row r="22" spans="3:15" x14ac:dyDescent="0.2">
      <c r="C22" s="618" t="s">
        <v>99</v>
      </c>
      <c r="D22" s="619">
        <f>D20+D21</f>
        <v>989820</v>
      </c>
      <c r="E22" s="619">
        <f>E20+E21</f>
        <v>975000</v>
      </c>
      <c r="I22" s="612">
        <f>+I20-I21</f>
        <v>-468000</v>
      </c>
    </row>
    <row r="23" spans="3:15" x14ac:dyDescent="0.2">
      <c r="C23" s="617" t="str">
        <f>IF((E23-E22)&lt;0,"Refundable","Tax Payble")</f>
        <v>Tax Payble</v>
      </c>
      <c r="D23" s="620">
        <f>+D22</f>
        <v>989820</v>
      </c>
      <c r="E23" s="620">
        <f>+E22</f>
        <v>975000</v>
      </c>
      <c r="K23" s="18">
        <v>0</v>
      </c>
      <c r="L23" s="13"/>
      <c r="N23" s="18">
        <v>0</v>
      </c>
      <c r="O23" s="13"/>
    </row>
    <row r="24" spans="3:15" x14ac:dyDescent="0.2">
      <c r="C24" s="614"/>
      <c r="D24" s="613"/>
      <c r="E24" s="613"/>
      <c r="K24" s="18">
        <v>250000</v>
      </c>
      <c r="L24" s="18">
        <v>0</v>
      </c>
      <c r="N24" s="18">
        <v>250000</v>
      </c>
      <c r="O24" s="18">
        <v>0</v>
      </c>
    </row>
    <row r="25" spans="3:15" x14ac:dyDescent="0.2">
      <c r="C25" s="615"/>
      <c r="D25" s="616" t="str">
        <f>+IF((D23-E23)&lt;0,"Please Select Old Option Please","Please Select New Option Please")</f>
        <v>Please Select New Option Please</v>
      </c>
      <c r="E25" s="616"/>
      <c r="K25" s="18">
        <v>500000</v>
      </c>
      <c r="L25" s="18">
        <f>ROUND((E19-250000)*0.05,0)</f>
        <v>187500</v>
      </c>
      <c r="N25" s="18">
        <v>500000</v>
      </c>
      <c r="O25" s="18">
        <f>ROUND((D19-250000)*0.05,0)</f>
        <v>177375</v>
      </c>
    </row>
    <row r="26" spans="3:15" x14ac:dyDescent="0.2">
      <c r="E26" s="611"/>
      <c r="K26" s="18">
        <v>500001</v>
      </c>
      <c r="L26" s="18">
        <f>ROUND((E19-500000)*0.1+12500,0)</f>
        <v>362500</v>
      </c>
      <c r="N26" s="18">
        <v>500001</v>
      </c>
      <c r="O26" s="18">
        <f>ROUND((D19-500000)*0.2+12500,0)</f>
        <v>672000</v>
      </c>
    </row>
    <row r="27" spans="3:15" x14ac:dyDescent="0.2">
      <c r="C27" t="s">
        <v>326</v>
      </c>
      <c r="K27" s="37">
        <v>750001</v>
      </c>
      <c r="L27" s="18">
        <f>ROUND((E19-750000)*0.15+37500,0)</f>
        <v>525000</v>
      </c>
      <c r="N27" s="37">
        <v>1000000</v>
      </c>
      <c r="O27" s="18">
        <f>ROUND((D19-1000000)*0.3+112500,0)</f>
        <v>951750</v>
      </c>
    </row>
    <row r="28" spans="3:15" x14ac:dyDescent="0.2">
      <c r="C28" s="621" t="s">
        <v>424</v>
      </c>
      <c r="K28" s="38">
        <v>1000001</v>
      </c>
      <c r="L28" s="18">
        <f>ROUND((E19-1000000)*0.2+75000,0)</f>
        <v>675000</v>
      </c>
      <c r="N28" s="38">
        <f>IF(G21&lt;350001,350000,0)</f>
        <v>350000</v>
      </c>
      <c r="O28" s="37"/>
    </row>
    <row r="29" spans="3:15" x14ac:dyDescent="0.2">
      <c r="K29" s="37">
        <v>1250001</v>
      </c>
      <c r="L29" s="18">
        <f>ROUND((E19-1250000)*0.25+125000,0)</f>
        <v>812500</v>
      </c>
    </row>
    <row r="30" spans="3:15" x14ac:dyDescent="0.2">
      <c r="K30" s="14">
        <v>1500000</v>
      </c>
      <c r="L30" s="18">
        <f>ROUND((E19-1500000)*0.3+187500,0)</f>
        <v>937500</v>
      </c>
    </row>
  </sheetData>
  <mergeCells count="1">
    <mergeCell ref="D25:E25"/>
  </mergeCells>
  <hyperlinks>
    <hyperlink ref="C28" r:id="rId1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106"/>
  <sheetViews>
    <sheetView view="pageBreakPreview" topLeftCell="A70" zoomScale="120" zoomScaleNormal="100" zoomScaleSheetLayoutView="120" workbookViewId="0">
      <selection activeCell="G74" sqref="G74"/>
    </sheetView>
  </sheetViews>
  <sheetFormatPr defaultColWidth="9.140625" defaultRowHeight="15.75" customHeight="1" x14ac:dyDescent="0.2"/>
  <cols>
    <col min="1" max="1" width="5.140625" style="33" customWidth="1"/>
    <col min="2" max="2" width="3.140625" style="33" customWidth="1"/>
    <col min="3" max="3" width="13.42578125" style="33" customWidth="1"/>
    <col min="4" max="4" width="32" style="33" customWidth="1"/>
    <col min="5" max="5" width="5.7109375" style="33" customWidth="1"/>
    <col min="6" max="6" width="8.28515625" style="33" customWidth="1"/>
    <col min="7" max="7" width="14.7109375" style="33" customWidth="1"/>
    <col min="8" max="8" width="16.5703125" style="33" customWidth="1"/>
    <col min="9" max="9" width="11.42578125" style="33" customWidth="1"/>
    <col min="10" max="10" width="9.140625" style="33"/>
    <col min="11" max="11" width="14.85546875" style="33" bestFit="1" customWidth="1"/>
    <col min="12" max="16384" width="9.140625" style="33"/>
  </cols>
  <sheetData>
    <row r="1" spans="1:8" ht="14.25" customHeight="1" x14ac:dyDescent="0.2">
      <c r="A1" s="508" t="s">
        <v>1</v>
      </c>
      <c r="B1" s="508"/>
      <c r="C1" s="508"/>
      <c r="D1" s="508"/>
      <c r="E1" s="508"/>
      <c r="F1" s="508"/>
      <c r="G1" s="508"/>
      <c r="H1" s="508"/>
    </row>
    <row r="2" spans="1:8" ht="14.25" customHeight="1" x14ac:dyDescent="0.2">
      <c r="A2" s="509" t="s">
        <v>2</v>
      </c>
      <c r="B2" s="509"/>
      <c r="C2" s="509"/>
      <c r="D2" s="509"/>
      <c r="E2" s="509"/>
      <c r="F2" s="509"/>
      <c r="G2" s="509"/>
      <c r="H2" s="509"/>
    </row>
    <row r="3" spans="1:8" ht="26.25" customHeight="1" thickBot="1" x14ac:dyDescent="0.25">
      <c r="A3" s="510" t="s">
        <v>271</v>
      </c>
      <c r="B3" s="510"/>
      <c r="C3" s="510"/>
      <c r="D3" s="510"/>
      <c r="E3" s="510"/>
      <c r="F3" s="510"/>
      <c r="G3" s="510"/>
      <c r="H3" s="510"/>
    </row>
    <row r="4" spans="1:8" s="248" customFormat="1" ht="21.75" customHeight="1" x14ac:dyDescent="0.2">
      <c r="A4" s="511" t="s">
        <v>3</v>
      </c>
      <c r="B4" s="511"/>
      <c r="C4" s="511"/>
      <c r="D4" s="511"/>
      <c r="E4" s="511"/>
      <c r="F4" s="511" t="s">
        <v>4</v>
      </c>
      <c r="G4" s="511"/>
      <c r="H4" s="511"/>
    </row>
    <row r="5" spans="1:8" ht="15" customHeight="1" x14ac:dyDescent="0.2">
      <c r="A5" s="512" t="str">
        <f>+'Input Data'!D4</f>
        <v>Shri P.D.Naoghare</v>
      </c>
      <c r="B5" s="512"/>
      <c r="C5" s="512"/>
      <c r="D5" s="512"/>
      <c r="E5" s="512"/>
      <c r="F5" s="512" t="str">
        <f>+'Input Data'!D10</f>
        <v>Shri Pramod Mahadeo Puri</v>
      </c>
      <c r="G5" s="512"/>
      <c r="H5" s="512"/>
    </row>
    <row r="6" spans="1:8" s="248" customFormat="1" ht="15" customHeight="1" x14ac:dyDescent="0.2">
      <c r="A6" s="513" t="str">
        <f>+'Input Data'!D5</f>
        <v xml:space="preserve">Chief Engineer </v>
      </c>
      <c r="B6" s="513"/>
      <c r="C6" s="513"/>
      <c r="D6" s="513"/>
      <c r="E6" s="513"/>
      <c r="F6" s="513" t="str">
        <f>+'Input Data'!D11</f>
        <v>Senior Clerk</v>
      </c>
      <c r="G6" s="513"/>
      <c r="H6" s="513"/>
    </row>
    <row r="7" spans="1:8" ht="35.25" customHeight="1" thickBot="1" x14ac:dyDescent="0.25">
      <c r="A7" s="514" t="str">
        <f>+'Input Data'!D6</f>
        <v>Bandhakam Bhavan,  Public Works Reagion, Camp Road, Amravati. 444 602.</v>
      </c>
      <c r="B7" s="514"/>
      <c r="C7" s="514"/>
      <c r="D7" s="514"/>
      <c r="E7" s="514"/>
      <c r="F7" s="515"/>
      <c r="G7" s="515"/>
      <c r="H7" s="515"/>
    </row>
    <row r="8" spans="1:8" s="248" customFormat="1" ht="13.5" customHeight="1" x14ac:dyDescent="0.2">
      <c r="A8" s="525" t="s">
        <v>274</v>
      </c>
      <c r="B8" s="526"/>
      <c r="C8" s="526"/>
      <c r="D8" s="526">
        <f>+'Input Data'!D7</f>
        <v>0</v>
      </c>
      <c r="E8" s="527"/>
      <c r="F8" s="543" t="s">
        <v>275</v>
      </c>
      <c r="G8" s="543"/>
      <c r="H8" s="236">
        <f>+'Input Data'!D9</f>
        <v>0</v>
      </c>
    </row>
    <row r="9" spans="1:8" ht="13.5" customHeight="1" x14ac:dyDescent="0.2">
      <c r="A9" s="516" t="s">
        <v>71</v>
      </c>
      <c r="B9" s="517"/>
      <c r="C9" s="518"/>
      <c r="D9" s="516" t="s">
        <v>72</v>
      </c>
      <c r="E9" s="518"/>
      <c r="F9" s="544" t="s">
        <v>5</v>
      </c>
      <c r="G9" s="545"/>
      <c r="H9" s="546"/>
    </row>
    <row r="10" spans="1:8" s="248" customFormat="1" ht="13.5" customHeight="1" x14ac:dyDescent="0.2">
      <c r="A10" s="519" t="s">
        <v>73</v>
      </c>
      <c r="B10" s="520"/>
      <c r="C10" s="521"/>
      <c r="D10" s="496"/>
      <c r="E10" s="497"/>
      <c r="F10" s="547" t="s">
        <v>272</v>
      </c>
      <c r="G10" s="548"/>
      <c r="H10" s="237" t="s">
        <v>273</v>
      </c>
    </row>
    <row r="11" spans="1:8" ht="13.5" customHeight="1" x14ac:dyDescent="0.2">
      <c r="A11" s="522" t="s">
        <v>74</v>
      </c>
      <c r="B11" s="523"/>
      <c r="C11" s="524"/>
      <c r="D11" s="516"/>
      <c r="E11" s="518"/>
      <c r="F11" s="281" t="s">
        <v>6</v>
      </c>
      <c r="G11" s="281" t="s">
        <v>411</v>
      </c>
      <c r="H11" s="549" t="s">
        <v>413</v>
      </c>
    </row>
    <row r="12" spans="1:8" s="248" customFormat="1" ht="13.5" customHeight="1" x14ac:dyDescent="0.2">
      <c r="A12" s="519" t="s">
        <v>75</v>
      </c>
      <c r="B12" s="520"/>
      <c r="C12" s="521"/>
      <c r="D12" s="496"/>
      <c r="E12" s="497"/>
      <c r="F12" s="238" t="s">
        <v>7</v>
      </c>
      <c r="G12" s="238" t="s">
        <v>412</v>
      </c>
      <c r="H12" s="550"/>
    </row>
    <row r="13" spans="1:8" ht="18" customHeight="1" x14ac:dyDescent="0.2">
      <c r="A13" s="522" t="s">
        <v>76</v>
      </c>
      <c r="B13" s="523"/>
      <c r="C13" s="524"/>
      <c r="D13" s="516"/>
      <c r="E13" s="518"/>
      <c r="F13" s="282"/>
      <c r="G13" s="283"/>
      <c r="H13" s="284"/>
    </row>
    <row r="14" spans="1:8" s="248" customFormat="1" ht="22.5" customHeight="1" x14ac:dyDescent="0.2">
      <c r="A14" s="534" t="s">
        <v>8</v>
      </c>
      <c r="B14" s="535"/>
      <c r="C14" s="535"/>
      <c r="D14" s="535"/>
      <c r="E14" s="535"/>
      <c r="F14" s="535"/>
      <c r="G14" s="535"/>
      <c r="H14" s="536"/>
    </row>
    <row r="15" spans="1:8" ht="15" customHeight="1" x14ac:dyDescent="0.2">
      <c r="A15" s="285">
        <v>1</v>
      </c>
      <c r="B15" s="537" t="s">
        <v>9</v>
      </c>
      <c r="C15" s="538"/>
      <c r="D15" s="538"/>
      <c r="E15" s="538"/>
      <c r="F15" s="539"/>
      <c r="G15" s="286"/>
      <c r="H15" s="286"/>
    </row>
    <row r="16" spans="1:8" s="248" customFormat="1" ht="15" customHeight="1" x14ac:dyDescent="0.2">
      <c r="A16" s="239"/>
      <c r="B16" s="540" t="s">
        <v>276</v>
      </c>
      <c r="C16" s="541"/>
      <c r="D16" s="541"/>
      <c r="E16" s="541"/>
      <c r="F16" s="542"/>
      <c r="G16" s="240">
        <f>'I-FORM'!L9</f>
        <v>712458</v>
      </c>
      <c r="H16" s="240"/>
    </row>
    <row r="17" spans="1:14" ht="15" customHeight="1" x14ac:dyDescent="0.2">
      <c r="A17" s="287"/>
      <c r="B17" s="531" t="s">
        <v>281</v>
      </c>
      <c r="C17" s="532"/>
      <c r="D17" s="532"/>
      <c r="E17" s="532"/>
      <c r="F17" s="533"/>
      <c r="G17" s="288">
        <v>0</v>
      </c>
      <c r="H17" s="288"/>
    </row>
    <row r="18" spans="1:14" s="248" customFormat="1" ht="15" customHeight="1" x14ac:dyDescent="0.2">
      <c r="A18" s="239"/>
      <c r="B18" s="540" t="s">
        <v>277</v>
      </c>
      <c r="C18" s="541"/>
      <c r="D18" s="541"/>
      <c r="E18" s="541"/>
      <c r="F18" s="542"/>
      <c r="G18" s="240"/>
      <c r="H18" s="241"/>
    </row>
    <row r="19" spans="1:14" ht="15" customHeight="1" x14ac:dyDescent="0.2">
      <c r="A19" s="287"/>
      <c r="B19" s="531" t="s">
        <v>282</v>
      </c>
      <c r="C19" s="532"/>
      <c r="D19" s="532"/>
      <c r="E19" s="532"/>
      <c r="F19" s="533"/>
      <c r="G19" s="288">
        <v>0</v>
      </c>
      <c r="H19" s="289"/>
    </row>
    <row r="20" spans="1:14" s="248" customFormat="1" ht="15" customHeight="1" x14ac:dyDescent="0.2">
      <c r="A20" s="242"/>
      <c r="B20" s="528" t="s">
        <v>278</v>
      </c>
      <c r="C20" s="529"/>
      <c r="D20" s="529"/>
      <c r="E20" s="529"/>
      <c r="F20" s="530"/>
      <c r="G20" s="243"/>
      <c r="H20" s="244">
        <f>SUM(G16:G19)</f>
        <v>712458</v>
      </c>
    </row>
    <row r="21" spans="1:14" ht="15.75" customHeight="1" x14ac:dyDescent="0.2">
      <c r="A21" s="292">
        <v>2</v>
      </c>
      <c r="B21" s="555" t="s">
        <v>280</v>
      </c>
      <c r="C21" s="556"/>
      <c r="D21" s="556"/>
      <c r="E21" s="556"/>
      <c r="F21" s="557"/>
      <c r="G21" s="293"/>
      <c r="H21" s="286"/>
      <c r="J21" s="33" t="s">
        <v>279</v>
      </c>
      <c r="M21" s="32"/>
      <c r="N21" s="34"/>
    </row>
    <row r="22" spans="1:14" s="248" customFormat="1" ht="15.75" customHeight="1" x14ac:dyDescent="0.2">
      <c r="A22" s="245"/>
      <c r="B22" s="471" t="s">
        <v>283</v>
      </c>
      <c r="C22" s="472"/>
      <c r="D22" s="473"/>
      <c r="E22" s="496" t="s">
        <v>286</v>
      </c>
      <c r="F22" s="497"/>
      <c r="G22" s="246"/>
      <c r="H22" s="247"/>
      <c r="M22" s="256"/>
      <c r="N22" s="337"/>
    </row>
    <row r="23" spans="1:14" ht="15.75" customHeight="1" x14ac:dyDescent="0.2">
      <c r="A23" s="292"/>
      <c r="B23" s="474" t="s">
        <v>385</v>
      </c>
      <c r="C23" s="475"/>
      <c r="D23" s="476"/>
      <c r="E23" s="491">
        <f>'I-FORM'!G13</f>
        <v>0</v>
      </c>
      <c r="F23" s="492"/>
      <c r="G23" s="293"/>
      <c r="H23" s="294"/>
      <c r="M23" s="32"/>
      <c r="N23" s="34"/>
    </row>
    <row r="24" spans="1:14" s="248" customFormat="1" ht="15.75" customHeight="1" x14ac:dyDescent="0.2">
      <c r="A24" s="245"/>
      <c r="B24" s="477" t="s">
        <v>284</v>
      </c>
      <c r="C24" s="478"/>
      <c r="D24" s="479"/>
      <c r="E24" s="558">
        <v>0</v>
      </c>
      <c r="F24" s="559"/>
      <c r="G24" s="246"/>
      <c r="H24" s="247"/>
      <c r="M24" s="256"/>
      <c r="N24" s="337"/>
    </row>
    <row r="25" spans="1:14" ht="15.75" customHeight="1" x14ac:dyDescent="0.2">
      <c r="A25" s="292"/>
      <c r="B25" s="493" t="s">
        <v>285</v>
      </c>
      <c r="C25" s="494"/>
      <c r="D25" s="495"/>
      <c r="E25" s="506">
        <f>'I-FORM'!L11</f>
        <v>0</v>
      </c>
      <c r="F25" s="507"/>
      <c r="G25" s="295"/>
      <c r="H25" s="296"/>
      <c r="M25" s="32"/>
      <c r="N25" s="34"/>
    </row>
    <row r="26" spans="1:14" s="248" customFormat="1" ht="15.75" customHeight="1" x14ac:dyDescent="0.2">
      <c r="A26" s="245">
        <v>3</v>
      </c>
      <c r="B26" s="480" t="s">
        <v>10</v>
      </c>
      <c r="C26" s="481"/>
      <c r="D26" s="481"/>
      <c r="E26" s="481"/>
      <c r="F26" s="482"/>
      <c r="G26" s="244">
        <f>SUM(E23:F25)</f>
        <v>0</v>
      </c>
      <c r="H26" s="244">
        <f>H20-G26</f>
        <v>712458</v>
      </c>
    </row>
    <row r="27" spans="1:14" ht="15.75" customHeight="1" x14ac:dyDescent="0.2">
      <c r="A27" s="292">
        <v>4</v>
      </c>
      <c r="B27" s="483" t="s">
        <v>287</v>
      </c>
      <c r="C27" s="484"/>
      <c r="D27" s="484"/>
      <c r="E27" s="484"/>
      <c r="F27" s="485"/>
      <c r="G27" s="297"/>
      <c r="H27" s="298"/>
    </row>
    <row r="28" spans="1:14" s="248" customFormat="1" ht="15.75" customHeight="1" x14ac:dyDescent="0.2">
      <c r="A28" s="252"/>
      <c r="B28" s="253" t="s">
        <v>288</v>
      </c>
      <c r="C28" s="254"/>
      <c r="D28" s="255"/>
      <c r="E28" s="489">
        <v>0</v>
      </c>
      <c r="F28" s="490"/>
      <c r="H28" s="251"/>
    </row>
    <row r="29" spans="1:14" ht="15.75" customHeight="1" x14ac:dyDescent="0.2">
      <c r="A29" s="299"/>
      <c r="B29" s="287" t="s">
        <v>11</v>
      </c>
      <c r="C29" s="300"/>
      <c r="D29" s="301"/>
      <c r="E29" s="491">
        <f>'I-FORM'!G12</f>
        <v>2500</v>
      </c>
      <c r="F29" s="492"/>
      <c r="G29" s="295"/>
      <c r="H29" s="288"/>
    </row>
    <row r="30" spans="1:14" s="248" customFormat="1" ht="15.75" customHeight="1" x14ac:dyDescent="0.2">
      <c r="A30" s="252"/>
      <c r="B30" s="239" t="s">
        <v>354</v>
      </c>
      <c r="C30" s="256"/>
      <c r="D30" s="257"/>
      <c r="E30" s="498">
        <f>+'I-FORM'!L12</f>
        <v>0</v>
      </c>
      <c r="F30" s="499"/>
      <c r="H30" s="240"/>
    </row>
    <row r="31" spans="1:14" ht="18" customHeight="1" x14ac:dyDescent="0.2">
      <c r="A31" s="292">
        <v>5</v>
      </c>
      <c r="B31" s="486" t="s">
        <v>355</v>
      </c>
      <c r="C31" s="487"/>
      <c r="D31" s="487"/>
      <c r="E31" s="487"/>
      <c r="F31" s="488"/>
      <c r="G31" s="296">
        <f>SUM(E28:F30)</f>
        <v>2500</v>
      </c>
      <c r="H31" s="296"/>
    </row>
    <row r="32" spans="1:14" s="248" customFormat="1" x14ac:dyDescent="0.2">
      <c r="A32" s="245">
        <v>6</v>
      </c>
      <c r="B32" s="503" t="s">
        <v>12</v>
      </c>
      <c r="C32" s="504"/>
      <c r="D32" s="504"/>
      <c r="E32" s="504"/>
      <c r="F32" s="505"/>
      <c r="G32" s="258"/>
      <c r="H32" s="244">
        <f>H26-G31</f>
        <v>709958</v>
      </c>
    </row>
    <row r="33" spans="1:8" x14ac:dyDescent="0.2">
      <c r="A33" s="292">
        <v>7</v>
      </c>
      <c r="B33" s="486" t="s">
        <v>13</v>
      </c>
      <c r="C33" s="487"/>
      <c r="D33" s="487"/>
      <c r="E33" s="487"/>
      <c r="F33" s="488"/>
      <c r="G33" s="302"/>
      <c r="H33" s="303"/>
    </row>
    <row r="34" spans="1:8" s="248" customFormat="1" x14ac:dyDescent="0.2">
      <c r="A34" s="259"/>
      <c r="B34" s="471" t="s">
        <v>289</v>
      </c>
      <c r="C34" s="472"/>
      <c r="D34" s="473"/>
      <c r="E34" s="496" t="s">
        <v>286</v>
      </c>
      <c r="F34" s="497"/>
      <c r="G34" s="241"/>
      <c r="H34" s="247"/>
    </row>
    <row r="35" spans="1:8" x14ac:dyDescent="0.2">
      <c r="A35" s="304"/>
      <c r="B35" s="474" t="s">
        <v>290</v>
      </c>
      <c r="C35" s="475"/>
      <c r="D35" s="476"/>
      <c r="E35" s="491">
        <f>'I-FORM'!G24</f>
        <v>0</v>
      </c>
      <c r="F35" s="492"/>
      <c r="G35" s="288"/>
      <c r="H35" s="294"/>
    </row>
    <row r="36" spans="1:8" s="248" customFormat="1" x14ac:dyDescent="0.2">
      <c r="A36" s="259"/>
      <c r="B36" s="477" t="s">
        <v>291</v>
      </c>
      <c r="C36" s="478"/>
      <c r="D36" s="479"/>
      <c r="E36" s="498">
        <v>0</v>
      </c>
      <c r="F36" s="499"/>
      <c r="G36" s="241"/>
      <c r="H36" s="247"/>
    </row>
    <row r="37" spans="1:8" x14ac:dyDescent="0.2">
      <c r="A37" s="304"/>
      <c r="B37" s="493" t="s">
        <v>292</v>
      </c>
      <c r="C37" s="494"/>
      <c r="D37" s="495"/>
      <c r="E37" s="506">
        <v>0</v>
      </c>
      <c r="F37" s="507"/>
      <c r="G37" s="305">
        <f>SUM(E35:F37)</f>
        <v>0</v>
      </c>
      <c r="H37" s="294"/>
    </row>
    <row r="38" spans="1:8" s="248" customFormat="1" x14ac:dyDescent="0.2">
      <c r="A38" s="259"/>
      <c r="B38" s="551" t="s">
        <v>293</v>
      </c>
      <c r="C38" s="541"/>
      <c r="D38" s="542"/>
      <c r="E38" s="498">
        <f>'I-FORM'!L22</f>
        <v>0</v>
      </c>
      <c r="F38" s="499"/>
      <c r="G38" s="247">
        <f>+E38</f>
        <v>0</v>
      </c>
      <c r="H38" s="247"/>
    </row>
    <row r="39" spans="1:8" x14ac:dyDescent="0.2">
      <c r="A39" s="292">
        <v>8</v>
      </c>
      <c r="B39" s="562" t="s">
        <v>294</v>
      </c>
      <c r="C39" s="563"/>
      <c r="D39" s="563"/>
      <c r="E39" s="563"/>
      <c r="F39" s="564"/>
      <c r="G39" s="306"/>
      <c r="H39" s="291">
        <f>+H32+G37-G38</f>
        <v>709958</v>
      </c>
    </row>
    <row r="40" spans="1:8" s="248" customFormat="1" ht="14.25" customHeight="1" thickBot="1" x14ac:dyDescent="0.2">
      <c r="A40" s="245">
        <v>9</v>
      </c>
      <c r="B40" s="565" t="s">
        <v>295</v>
      </c>
      <c r="C40" s="566"/>
      <c r="D40" s="566"/>
      <c r="E40" s="566"/>
      <c r="F40" s="567"/>
      <c r="G40" s="260" t="s">
        <v>55</v>
      </c>
      <c r="H40" s="261">
        <f>+'I-FORM'!L21</f>
        <v>709960</v>
      </c>
    </row>
    <row r="41" spans="1:8" ht="14.25" customHeight="1" x14ac:dyDescent="0.25">
      <c r="A41" s="292"/>
      <c r="B41" s="500" t="s">
        <v>296</v>
      </c>
      <c r="C41" s="501"/>
      <c r="D41" s="501"/>
      <c r="E41" s="501"/>
      <c r="F41" s="502"/>
      <c r="G41" s="307"/>
      <c r="H41" s="308"/>
    </row>
    <row r="42" spans="1:8" s="248" customFormat="1" ht="14.25" customHeight="1" x14ac:dyDescent="0.2">
      <c r="A42" s="245"/>
      <c r="B42" s="534" t="s">
        <v>297</v>
      </c>
      <c r="C42" s="535"/>
      <c r="D42" s="535"/>
      <c r="E42" s="569" t="s">
        <v>14</v>
      </c>
      <c r="F42" s="569"/>
      <c r="G42" s="263"/>
      <c r="H42" s="263"/>
    </row>
    <row r="43" spans="1:8" ht="14.25" customHeight="1" x14ac:dyDescent="0.2">
      <c r="A43" s="292"/>
      <c r="B43" s="570" t="s">
        <v>298</v>
      </c>
      <c r="C43" s="570"/>
      <c r="D43" s="570"/>
      <c r="E43" s="568">
        <f>+'I-FORM'!E24</f>
        <v>97494</v>
      </c>
      <c r="F43" s="568"/>
      <c r="G43" s="288"/>
      <c r="H43" s="308"/>
    </row>
    <row r="44" spans="1:8" s="248" customFormat="1" ht="14.25" customHeight="1" x14ac:dyDescent="0.2">
      <c r="A44" s="245"/>
      <c r="B44" s="571" t="s">
        <v>299</v>
      </c>
      <c r="C44" s="571"/>
      <c r="D44" s="571"/>
      <c r="E44" s="560">
        <f>+'I-FORM'!H24</f>
        <v>0</v>
      </c>
      <c r="F44" s="560"/>
      <c r="G44" s="240"/>
      <c r="H44" s="263"/>
    </row>
    <row r="45" spans="1:8" ht="14.25" customHeight="1" x14ac:dyDescent="0.2">
      <c r="A45" s="304"/>
      <c r="B45" s="572" t="s">
        <v>300</v>
      </c>
      <c r="C45" s="572"/>
      <c r="D45" s="572"/>
      <c r="E45" s="561">
        <f>+'I-FORM'!K24</f>
        <v>4320</v>
      </c>
      <c r="F45" s="561"/>
      <c r="G45" s="308"/>
      <c r="H45" s="308"/>
    </row>
    <row r="46" spans="1:8" s="248" customFormat="1" ht="14.25" customHeight="1" x14ac:dyDescent="0.2">
      <c r="A46" s="239"/>
      <c r="B46" s="571" t="s">
        <v>381</v>
      </c>
      <c r="C46" s="571"/>
      <c r="D46" s="571"/>
      <c r="E46" s="560">
        <f>+'I-FORM'!E27</f>
        <v>0</v>
      </c>
      <c r="F46" s="560"/>
      <c r="G46" s="240"/>
      <c r="H46" s="240"/>
    </row>
    <row r="47" spans="1:8" ht="14.25" customHeight="1" x14ac:dyDescent="0.2">
      <c r="A47" s="287"/>
      <c r="B47" s="572" t="s">
        <v>302</v>
      </c>
      <c r="C47" s="572"/>
      <c r="D47" s="572"/>
      <c r="E47" s="561">
        <f>+'I-FORM'!H25</f>
        <v>0</v>
      </c>
      <c r="F47" s="561"/>
      <c r="G47" s="309"/>
      <c r="H47" s="288"/>
    </row>
    <row r="48" spans="1:8" s="248" customFormat="1" ht="14.25" customHeight="1" x14ac:dyDescent="0.2">
      <c r="A48" s="239"/>
      <c r="B48" s="571" t="s">
        <v>304</v>
      </c>
      <c r="C48" s="571"/>
      <c r="D48" s="571"/>
      <c r="E48" s="560">
        <f>+'I-FORM'!K25</f>
        <v>0</v>
      </c>
      <c r="F48" s="560"/>
      <c r="G48" s="264"/>
      <c r="H48" s="240"/>
    </row>
    <row r="49" spans="1:8" ht="14.25" customHeight="1" x14ac:dyDescent="0.2">
      <c r="A49" s="287"/>
      <c r="B49" s="572" t="s">
        <v>305</v>
      </c>
      <c r="C49" s="572"/>
      <c r="D49" s="572"/>
      <c r="E49" s="561">
        <f>+'I-FORM'!E26</f>
        <v>0</v>
      </c>
      <c r="F49" s="561"/>
      <c r="G49" s="288"/>
      <c r="H49" s="288"/>
    </row>
    <row r="50" spans="1:8" s="248" customFormat="1" ht="14.25" customHeight="1" x14ac:dyDescent="0.2">
      <c r="A50" s="239"/>
      <c r="B50" s="571" t="s">
        <v>306</v>
      </c>
      <c r="C50" s="571"/>
      <c r="D50" s="571"/>
      <c r="E50" s="560">
        <f>+'I-FORM'!H26</f>
        <v>0</v>
      </c>
      <c r="F50" s="560"/>
      <c r="G50" s="240"/>
      <c r="H50" s="240"/>
    </row>
    <row r="51" spans="1:8" ht="14.25" customHeight="1" x14ac:dyDescent="0.2">
      <c r="A51" s="287"/>
      <c r="B51" s="572" t="s">
        <v>307</v>
      </c>
      <c r="C51" s="572"/>
      <c r="D51" s="572"/>
      <c r="E51" s="561">
        <f>+'I-FORM'!K26</f>
        <v>0</v>
      </c>
      <c r="F51" s="561"/>
      <c r="G51" s="288"/>
      <c r="H51" s="288"/>
    </row>
    <row r="52" spans="1:8" s="248" customFormat="1" ht="14.25" customHeight="1" x14ac:dyDescent="0.2">
      <c r="A52" s="239"/>
      <c r="B52" s="571" t="s">
        <v>308</v>
      </c>
      <c r="C52" s="571"/>
      <c r="D52" s="571"/>
      <c r="E52" s="560">
        <f>+'I-FORM'!H27+'I-FORM'!H27</f>
        <v>0</v>
      </c>
      <c r="F52" s="560"/>
      <c r="G52" s="240"/>
      <c r="H52" s="240"/>
    </row>
    <row r="53" spans="1:8" ht="14.25" customHeight="1" x14ac:dyDescent="0.2">
      <c r="A53" s="287"/>
      <c r="B53" s="572" t="s">
        <v>309</v>
      </c>
      <c r="C53" s="572"/>
      <c r="D53" s="572"/>
      <c r="E53" s="561">
        <f>+'I-FORM'!K27</f>
        <v>0</v>
      </c>
      <c r="F53" s="561"/>
      <c r="G53" s="288"/>
      <c r="H53" s="288"/>
    </row>
    <row r="54" spans="1:8" s="248" customFormat="1" ht="14.25" customHeight="1" x14ac:dyDescent="0.2">
      <c r="A54" s="239"/>
      <c r="B54" s="571" t="s">
        <v>310</v>
      </c>
      <c r="C54" s="571"/>
      <c r="D54" s="571"/>
      <c r="E54" s="560">
        <f>+'I-FORM'!E28</f>
        <v>300</v>
      </c>
      <c r="F54" s="560"/>
      <c r="G54" s="240"/>
      <c r="H54" s="240"/>
    </row>
    <row r="55" spans="1:8" ht="14.25" customHeight="1" x14ac:dyDescent="0.2">
      <c r="A55" s="287"/>
      <c r="B55" s="572" t="s">
        <v>311</v>
      </c>
      <c r="C55" s="572"/>
      <c r="D55" s="572"/>
      <c r="E55" s="561">
        <f>+'I-FORM'!H28</f>
        <v>0</v>
      </c>
      <c r="F55" s="561"/>
      <c r="G55" s="310"/>
      <c r="H55" s="288"/>
    </row>
    <row r="56" spans="1:8" s="248" customFormat="1" ht="14.25" customHeight="1" x14ac:dyDescent="0.25">
      <c r="A56" s="239"/>
      <c r="B56" s="574" t="s">
        <v>329</v>
      </c>
      <c r="C56" s="575"/>
      <c r="D56" s="575"/>
      <c r="E56" s="575"/>
      <c r="F56" s="576"/>
      <c r="G56" s="265">
        <f>SUM(E43:F55)</f>
        <v>102114</v>
      </c>
      <c r="H56" s="249">
        <f>IF(G56&lt;150001,G56,150000)</f>
        <v>102114</v>
      </c>
    </row>
    <row r="57" spans="1:8" ht="14.25" customHeight="1" x14ac:dyDescent="0.2">
      <c r="A57" s="287"/>
      <c r="B57" s="573" t="s">
        <v>312</v>
      </c>
      <c r="C57" s="573"/>
      <c r="D57" s="573"/>
      <c r="E57" s="577">
        <f>+'I-FORM'!L31</f>
        <v>0</v>
      </c>
      <c r="F57" s="577"/>
      <c r="G57" s="306"/>
      <c r="H57" s="311">
        <f>IF(E57&lt;50001,E57,50000)</f>
        <v>0</v>
      </c>
    </row>
    <row r="58" spans="1:8" s="248" customFormat="1" ht="36" customHeight="1" x14ac:dyDescent="0.2">
      <c r="A58" s="239"/>
      <c r="B58" s="469" t="s">
        <v>357</v>
      </c>
      <c r="C58" s="470"/>
      <c r="D58" s="470"/>
      <c r="E58" s="498">
        <f>+'I-FORM'!K30</f>
        <v>0</v>
      </c>
      <c r="F58" s="499"/>
      <c r="G58" s="266"/>
      <c r="H58" s="267">
        <f>+E58</f>
        <v>0</v>
      </c>
    </row>
    <row r="59" spans="1:8" x14ac:dyDescent="0.2">
      <c r="A59" s="287"/>
      <c r="B59" s="418"/>
      <c r="C59" s="422"/>
      <c r="D59" s="419" t="s">
        <v>383</v>
      </c>
      <c r="E59" s="420"/>
      <c r="F59" s="421"/>
      <c r="G59" s="312"/>
      <c r="H59" s="313">
        <v>50000</v>
      </c>
    </row>
    <row r="60" spans="1:8" s="248" customFormat="1" x14ac:dyDescent="0.2">
      <c r="A60" s="271">
        <v>10</v>
      </c>
      <c r="B60" s="268"/>
      <c r="C60" s="417"/>
      <c r="D60" s="269" t="s">
        <v>20</v>
      </c>
      <c r="E60" s="270"/>
      <c r="F60" s="262"/>
      <c r="G60" s="266"/>
      <c r="H60" s="267">
        <f>+H40-H56-H57-H58-H59</f>
        <v>557846</v>
      </c>
    </row>
    <row r="61" spans="1:8" ht="14.25" customHeight="1" x14ac:dyDescent="0.2">
      <c r="A61" s="287"/>
      <c r="B61" s="552" t="s">
        <v>313</v>
      </c>
      <c r="C61" s="553"/>
      <c r="D61" s="553"/>
      <c r="E61" s="553"/>
      <c r="F61" s="554"/>
      <c r="G61" s="313"/>
      <c r="H61" s="313"/>
    </row>
    <row r="62" spans="1:8" s="248" customFormat="1" x14ac:dyDescent="0.2">
      <c r="A62" s="239"/>
      <c r="B62" s="582" t="s">
        <v>316</v>
      </c>
      <c r="C62" s="582"/>
      <c r="D62" s="582"/>
      <c r="E62" s="498">
        <f>+'I-FORM'!H34</f>
        <v>0</v>
      </c>
      <c r="F62" s="499"/>
      <c r="G62" s="240">
        <f>IF(E62&lt;25001,E62,25000)</f>
        <v>0</v>
      </c>
      <c r="H62" s="240"/>
    </row>
    <row r="63" spans="1:8" x14ac:dyDescent="0.2">
      <c r="A63" s="287"/>
      <c r="B63" s="580" t="s">
        <v>317</v>
      </c>
      <c r="C63" s="580"/>
      <c r="D63" s="580"/>
      <c r="E63" s="491">
        <f>+'I-FORM'!H35</f>
        <v>0</v>
      </c>
      <c r="F63" s="492"/>
      <c r="G63" s="297">
        <f>+E63</f>
        <v>0</v>
      </c>
      <c r="H63" s="288"/>
    </row>
    <row r="64" spans="1:8" s="248" customFormat="1" x14ac:dyDescent="0.2">
      <c r="A64" s="239"/>
      <c r="B64" s="581" t="s">
        <v>318</v>
      </c>
      <c r="C64" s="581"/>
      <c r="D64" s="581"/>
      <c r="E64" s="498">
        <f>+'I-FORM'!H36</f>
        <v>0</v>
      </c>
      <c r="F64" s="499"/>
      <c r="G64" s="240">
        <f>IF(E64&lt;50001,E64,50000)</f>
        <v>0</v>
      </c>
      <c r="H64" s="240"/>
    </row>
    <row r="65" spans="1:11" x14ac:dyDescent="0.2">
      <c r="A65" s="287"/>
      <c r="B65" s="580" t="s">
        <v>319</v>
      </c>
      <c r="C65" s="580"/>
      <c r="D65" s="580"/>
      <c r="E65" s="491">
        <f>+'I-FORM'!H37</f>
        <v>0</v>
      </c>
      <c r="F65" s="492"/>
      <c r="G65" s="288">
        <f>IF(E65&lt;50001,E65,50000)</f>
        <v>0</v>
      </c>
      <c r="H65" s="288"/>
    </row>
    <row r="66" spans="1:11" s="248" customFormat="1" x14ac:dyDescent="0.2">
      <c r="A66" s="239"/>
      <c r="B66" s="581" t="s">
        <v>320</v>
      </c>
      <c r="C66" s="581"/>
      <c r="D66" s="581"/>
      <c r="E66" s="498">
        <f>+'I-FORM'!H38</f>
        <v>0</v>
      </c>
      <c r="F66" s="499"/>
      <c r="G66" s="240">
        <f>IF(E66&lt;1,E66,10000)</f>
        <v>0</v>
      </c>
      <c r="H66" s="240"/>
    </row>
    <row r="67" spans="1:11" ht="14.25" customHeight="1" x14ac:dyDescent="0.2">
      <c r="A67" s="287"/>
      <c r="B67" s="580" t="s">
        <v>321</v>
      </c>
      <c r="C67" s="580"/>
      <c r="D67" s="580"/>
      <c r="E67" s="491">
        <f>+'I-FORM'!H39</f>
        <v>0</v>
      </c>
      <c r="F67" s="492"/>
      <c r="G67" s="288">
        <f>IF(E67&lt;50001,E67,50000)</f>
        <v>0</v>
      </c>
      <c r="H67" s="288"/>
    </row>
    <row r="68" spans="1:11" s="248" customFormat="1" ht="14.25" customHeight="1" x14ac:dyDescent="0.2">
      <c r="A68" s="239"/>
      <c r="B68" s="581" t="s">
        <v>322</v>
      </c>
      <c r="C68" s="581"/>
      <c r="D68" s="581"/>
      <c r="E68" s="498">
        <f>+'I-FORM'!L34</f>
        <v>0</v>
      </c>
      <c r="F68" s="499"/>
      <c r="G68" s="250">
        <f>+E68</f>
        <v>0</v>
      </c>
      <c r="H68" s="240"/>
    </row>
    <row r="69" spans="1:11" ht="14.25" customHeight="1" x14ac:dyDescent="0.2">
      <c r="A69" s="287"/>
      <c r="B69" s="580" t="s">
        <v>323</v>
      </c>
      <c r="C69" s="580"/>
      <c r="D69" s="580"/>
      <c r="E69" s="491">
        <f>+'I-FORM'!L35</f>
        <v>0</v>
      </c>
      <c r="F69" s="492"/>
      <c r="G69" s="297">
        <f>+E69</f>
        <v>0</v>
      </c>
      <c r="H69" s="288"/>
      <c r="K69" s="73">
        <f>+H74-'I-FORM'!J43</f>
        <v>-152114</v>
      </c>
    </row>
    <row r="70" spans="1:11" s="248" customFormat="1" ht="14.25" customHeight="1" x14ac:dyDescent="0.2">
      <c r="A70" s="239"/>
      <c r="B70" s="581" t="s">
        <v>324</v>
      </c>
      <c r="C70" s="581"/>
      <c r="D70" s="581"/>
      <c r="E70" s="498">
        <f>+'I-FORM'!L36</f>
        <v>0</v>
      </c>
      <c r="F70" s="499"/>
      <c r="G70" s="250">
        <f>+E70</f>
        <v>0</v>
      </c>
      <c r="H70" s="240"/>
    </row>
    <row r="71" spans="1:11" ht="14.25" customHeight="1" x14ac:dyDescent="0.2">
      <c r="A71" s="287"/>
      <c r="B71" s="580" t="s">
        <v>325</v>
      </c>
      <c r="C71" s="580"/>
      <c r="D71" s="580"/>
      <c r="E71" s="491">
        <f>+'I-FORM'!L37</f>
        <v>0</v>
      </c>
      <c r="F71" s="492"/>
      <c r="G71" s="288">
        <f>IF(E71&lt;240001,E71,24000)</f>
        <v>0</v>
      </c>
      <c r="H71" s="288"/>
    </row>
    <row r="72" spans="1:11" s="248" customFormat="1" ht="14.25" customHeight="1" x14ac:dyDescent="0.2">
      <c r="A72" s="239"/>
      <c r="B72" s="581" t="s">
        <v>359</v>
      </c>
      <c r="C72" s="581"/>
      <c r="D72" s="581"/>
      <c r="G72" s="240"/>
      <c r="H72" s="240"/>
    </row>
    <row r="73" spans="1:11" x14ac:dyDescent="0.2">
      <c r="A73" s="314">
        <v>11</v>
      </c>
      <c r="B73" s="555" t="s">
        <v>15</v>
      </c>
      <c r="C73" s="556"/>
      <c r="D73" s="556"/>
      <c r="E73" s="556"/>
      <c r="F73" s="557"/>
      <c r="G73" s="315"/>
      <c r="H73" s="291">
        <f>SUM(G62:G72)</f>
        <v>0</v>
      </c>
    </row>
    <row r="74" spans="1:11" s="248" customFormat="1" ht="14.25" customHeight="1" x14ac:dyDescent="0.2">
      <c r="A74" s="245">
        <v>12</v>
      </c>
      <c r="B74" s="606" t="s">
        <v>387</v>
      </c>
      <c r="C74" s="606"/>
      <c r="D74" s="606"/>
      <c r="E74" s="498"/>
      <c r="F74" s="499"/>
      <c r="G74" s="246"/>
      <c r="H74" s="249">
        <f>+H60-H73</f>
        <v>557846</v>
      </c>
      <c r="J74" s="338"/>
      <c r="K74" s="338"/>
    </row>
    <row r="75" spans="1:11" ht="14.25" customHeight="1" x14ac:dyDescent="0.2">
      <c r="A75" s="292">
        <v>13</v>
      </c>
      <c r="B75" s="592" t="s">
        <v>16</v>
      </c>
      <c r="C75" s="592"/>
      <c r="D75" s="592"/>
      <c r="E75" s="491"/>
      <c r="F75" s="492"/>
      <c r="G75" s="293"/>
      <c r="H75" s="296">
        <f>+'I-FORM'!J44</f>
        <v>33496</v>
      </c>
      <c r="J75" s="35">
        <v>0</v>
      </c>
      <c r="K75" s="35">
        <v>0</v>
      </c>
    </row>
    <row r="76" spans="1:11" s="248" customFormat="1" ht="14.25" customHeight="1" x14ac:dyDescent="0.2">
      <c r="A76" s="245">
        <v>14</v>
      </c>
      <c r="B76" s="582" t="s">
        <v>394</v>
      </c>
      <c r="C76" s="593"/>
      <c r="D76" s="593"/>
      <c r="E76" s="498"/>
      <c r="F76" s="499"/>
      <c r="G76" s="246"/>
      <c r="H76" s="249">
        <f>+'I-FORM'!J45</f>
        <v>0</v>
      </c>
      <c r="J76" s="338"/>
      <c r="K76" s="338"/>
    </row>
    <row r="77" spans="1:11" ht="14.25" customHeight="1" x14ac:dyDescent="0.2">
      <c r="A77" s="292">
        <v>15</v>
      </c>
      <c r="B77" s="603" t="s">
        <v>388</v>
      </c>
      <c r="C77" s="604"/>
      <c r="D77" s="605"/>
      <c r="E77" s="316"/>
      <c r="F77" s="307"/>
      <c r="G77" s="293"/>
      <c r="H77" s="296">
        <f>+H75-H76</f>
        <v>33496</v>
      </c>
      <c r="J77" s="36">
        <v>0</v>
      </c>
      <c r="K77" s="36">
        <v>0</v>
      </c>
    </row>
    <row r="78" spans="1:11" s="248" customFormat="1" ht="14.25" customHeight="1" x14ac:dyDescent="0.2">
      <c r="A78" s="245">
        <v>16</v>
      </c>
      <c r="B78" s="593" t="s">
        <v>386</v>
      </c>
      <c r="C78" s="593"/>
      <c r="D78" s="593"/>
      <c r="E78" s="498"/>
      <c r="F78" s="499"/>
      <c r="G78" s="246"/>
      <c r="H78" s="244">
        <f>+'I-FORM'!J47</f>
        <v>1340</v>
      </c>
      <c r="J78" s="339">
        <v>250000</v>
      </c>
      <c r="K78" s="340">
        <f>ROUND((H74-250000)*0.1,0)</f>
        <v>30785</v>
      </c>
    </row>
    <row r="79" spans="1:11" ht="14.25" customHeight="1" x14ac:dyDescent="0.2">
      <c r="A79" s="292">
        <v>17</v>
      </c>
      <c r="B79" s="592" t="s">
        <v>389</v>
      </c>
      <c r="C79" s="592"/>
      <c r="D79" s="592"/>
      <c r="E79" s="491"/>
      <c r="F79" s="492"/>
      <c r="G79" s="293"/>
      <c r="H79" s="291">
        <f>+H77+H78</f>
        <v>34836</v>
      </c>
      <c r="J79" s="18">
        <v>500001</v>
      </c>
      <c r="K79" s="36">
        <f>ROUND((H74-500000)*0.2+25000,0)</f>
        <v>36569</v>
      </c>
    </row>
    <row r="80" spans="1:11" ht="14.25" customHeight="1" x14ac:dyDescent="0.2">
      <c r="A80" s="317">
        <v>18</v>
      </c>
      <c r="B80" s="592" t="s">
        <v>17</v>
      </c>
      <c r="C80" s="592"/>
      <c r="D80" s="592"/>
      <c r="E80" s="491"/>
      <c r="F80" s="492"/>
      <c r="G80" s="293"/>
      <c r="H80" s="291">
        <f>'PAY Details'!S22</f>
        <v>0</v>
      </c>
      <c r="J80" s="18">
        <v>1000000</v>
      </c>
      <c r="K80" s="36">
        <f>ROUND((H74-1000000)*0.3+125000,0)</f>
        <v>-7646</v>
      </c>
    </row>
    <row r="81" spans="1:10" ht="14.25" customHeight="1" x14ac:dyDescent="0.2">
      <c r="A81" s="317">
        <v>19</v>
      </c>
      <c r="B81" s="594" t="s">
        <v>390</v>
      </c>
      <c r="C81" s="594"/>
      <c r="D81" s="594"/>
      <c r="E81" s="588" t="str">
        <f>IF((H79-H80)&lt;0,"Refundable","Tax Payble")</f>
        <v>Tax Payble</v>
      </c>
      <c r="F81" s="589"/>
      <c r="G81" s="590"/>
      <c r="H81" s="291">
        <f>ABS(H79-H80)</f>
        <v>34836</v>
      </c>
    </row>
    <row r="82" spans="1:10" s="248" customFormat="1" ht="25.5" customHeight="1" x14ac:dyDescent="0.2">
      <c r="B82" s="272" t="str">
        <f>F5 &amp;F6</f>
        <v>Shri Pramod Mahadeo PuriSenior Clerk</v>
      </c>
      <c r="C82" s="256"/>
      <c r="D82" s="256"/>
      <c r="E82" s="256"/>
      <c r="F82" s="257"/>
      <c r="G82" s="273"/>
      <c r="H82" s="256"/>
    </row>
    <row r="83" spans="1:10" ht="20.25" customHeight="1" x14ac:dyDescent="0.2">
      <c r="A83" s="318" t="s">
        <v>18</v>
      </c>
      <c r="B83" s="319"/>
      <c r="C83" s="319"/>
      <c r="D83" s="319"/>
      <c r="E83" s="319"/>
      <c r="F83" s="319"/>
      <c r="G83" s="319"/>
      <c r="H83" s="320"/>
    </row>
    <row r="84" spans="1:10" s="248" customFormat="1" ht="31.5" customHeight="1" x14ac:dyDescent="0.2">
      <c r="A84" s="275" t="s">
        <v>69</v>
      </c>
      <c r="B84" s="601" t="s">
        <v>146</v>
      </c>
      <c r="C84" s="601"/>
      <c r="D84" s="275" t="s">
        <v>147</v>
      </c>
      <c r="E84" s="601" t="s">
        <v>19</v>
      </c>
      <c r="F84" s="601"/>
      <c r="G84" s="601"/>
      <c r="H84" s="601"/>
      <c r="J84" s="248" t="s">
        <v>145</v>
      </c>
    </row>
    <row r="85" spans="1:10" ht="15.75" customHeight="1" x14ac:dyDescent="0.2">
      <c r="A85" s="321">
        <v>1</v>
      </c>
      <c r="B85" s="578" t="str">
        <f>IF('PAY Details'!S7&gt;0,'PAY Details'!S7," ")</f>
        <v xml:space="preserve"> </v>
      </c>
      <c r="C85" s="578"/>
      <c r="D85" s="322" t="str">
        <f>IF('PAY Details'!S7&gt;1,'PAY Details'!B7," ")</f>
        <v xml:space="preserve"> </v>
      </c>
      <c r="E85" s="584" t="str">
        <f>IF('PAY Details'!S7&gt;1,$J$84," ")</f>
        <v xml:space="preserve"> </v>
      </c>
      <c r="F85" s="584"/>
      <c r="G85" s="584"/>
      <c r="H85" s="584"/>
    </row>
    <row r="86" spans="1:10" s="248" customFormat="1" ht="15.75" customHeight="1" x14ac:dyDescent="0.2">
      <c r="A86" s="276">
        <f t="shared" ref="A86:A96" si="0">A85+1</f>
        <v>2</v>
      </c>
      <c r="B86" s="579" t="str">
        <f>IF('PAY Details'!S8&gt;0,'PAY Details'!S8," ")</f>
        <v xml:space="preserve"> </v>
      </c>
      <c r="C86" s="579"/>
      <c r="D86" s="277" t="str">
        <f>IF('PAY Details'!S8&gt;1,'PAY Details'!B8," ")</f>
        <v xml:space="preserve"> </v>
      </c>
      <c r="E86" s="583" t="str">
        <f>IF('PAY Details'!S8&gt;1,$J$84," ")</f>
        <v xml:space="preserve"> </v>
      </c>
      <c r="F86" s="583"/>
      <c r="G86" s="583"/>
      <c r="H86" s="583"/>
    </row>
    <row r="87" spans="1:10" ht="15.75" customHeight="1" x14ac:dyDescent="0.2">
      <c r="A87" s="321">
        <f t="shared" si="0"/>
        <v>3</v>
      </c>
      <c r="B87" s="578" t="str">
        <f>IF('PAY Details'!S9&gt;0,'PAY Details'!S9," ")</f>
        <v xml:space="preserve"> </v>
      </c>
      <c r="C87" s="578"/>
      <c r="D87" s="322" t="str">
        <f>IF('PAY Details'!S9&gt;1,'PAY Details'!B9," ")</f>
        <v xml:space="preserve"> </v>
      </c>
      <c r="E87" s="584" t="str">
        <f>IF('PAY Details'!S9&gt;1,$J$84," ")</f>
        <v xml:space="preserve"> </v>
      </c>
      <c r="F87" s="584"/>
      <c r="G87" s="584"/>
      <c r="H87" s="584"/>
    </row>
    <row r="88" spans="1:10" s="248" customFormat="1" ht="15.75" customHeight="1" x14ac:dyDescent="0.2">
      <c r="A88" s="276">
        <f t="shared" si="0"/>
        <v>4</v>
      </c>
      <c r="B88" s="579" t="str">
        <f>IF('PAY Details'!S10&gt;0,'PAY Details'!S10," ")</f>
        <v xml:space="preserve"> </v>
      </c>
      <c r="C88" s="579"/>
      <c r="D88" s="277" t="str">
        <f>IF('PAY Details'!S10&gt;1,'PAY Details'!B10," ")</f>
        <v xml:space="preserve"> </v>
      </c>
      <c r="E88" s="583" t="str">
        <f>IF('PAY Details'!S10&gt;1,$J$84," ")</f>
        <v xml:space="preserve"> </v>
      </c>
      <c r="F88" s="583"/>
      <c r="G88" s="583"/>
      <c r="H88" s="583"/>
    </row>
    <row r="89" spans="1:10" ht="15.75" customHeight="1" x14ac:dyDescent="0.2">
      <c r="A89" s="323">
        <f t="shared" si="0"/>
        <v>5</v>
      </c>
      <c r="B89" s="578" t="str">
        <f>IF('PAY Details'!S11&gt;0,'PAY Details'!S11," ")</f>
        <v xml:space="preserve"> </v>
      </c>
      <c r="C89" s="578"/>
      <c r="D89" s="322" t="str">
        <f>IF('PAY Details'!S11&gt;1,'PAY Details'!B11," ")</f>
        <v xml:space="preserve"> </v>
      </c>
      <c r="E89" s="584" t="str">
        <f>IF('PAY Details'!S11&gt;1,$J$84," ")</f>
        <v xml:space="preserve"> </v>
      </c>
      <c r="F89" s="584"/>
      <c r="G89" s="584"/>
      <c r="H89" s="584"/>
    </row>
    <row r="90" spans="1:10" s="248" customFormat="1" ht="15.75" customHeight="1" x14ac:dyDescent="0.2">
      <c r="A90" s="276">
        <f t="shared" si="0"/>
        <v>6</v>
      </c>
      <c r="B90" s="579" t="str">
        <f>IF('PAY Details'!S12&gt;0,'PAY Details'!S12," ")</f>
        <v xml:space="preserve"> </v>
      </c>
      <c r="C90" s="579"/>
      <c r="D90" s="277" t="str">
        <f>IF('PAY Details'!S12&gt;1,'PAY Details'!B12," ")</f>
        <v xml:space="preserve"> </v>
      </c>
      <c r="E90" s="583" t="str">
        <f>IF('PAY Details'!S12&gt;1,$J$84," ")</f>
        <v xml:space="preserve"> </v>
      </c>
      <c r="F90" s="583"/>
      <c r="G90" s="583"/>
      <c r="H90" s="583"/>
    </row>
    <row r="91" spans="1:10" ht="15.75" customHeight="1" x14ac:dyDescent="0.2">
      <c r="A91" s="321">
        <f t="shared" si="0"/>
        <v>7</v>
      </c>
      <c r="B91" s="578" t="str">
        <f>IF('PAY Details'!S13&gt;0,'PAY Details'!S13," ")</f>
        <v xml:space="preserve"> </v>
      </c>
      <c r="C91" s="578"/>
      <c r="D91" s="322" t="str">
        <f>IF('PAY Details'!S13&gt;1,'PAY Details'!B13," ")</f>
        <v xml:space="preserve"> </v>
      </c>
      <c r="E91" s="584" t="str">
        <f>IF('PAY Details'!S13&gt;1,$J$84," ")</f>
        <v xml:space="preserve"> </v>
      </c>
      <c r="F91" s="584"/>
      <c r="G91" s="584"/>
      <c r="H91" s="584"/>
    </row>
    <row r="92" spans="1:10" s="248" customFormat="1" ht="15.75" customHeight="1" x14ac:dyDescent="0.2">
      <c r="A92" s="276">
        <f t="shared" si="0"/>
        <v>8</v>
      </c>
      <c r="B92" s="579" t="str">
        <f>IF('PAY Details'!S14&gt;0,'PAY Details'!S14," ")</f>
        <v xml:space="preserve"> </v>
      </c>
      <c r="C92" s="579"/>
      <c r="D92" s="277" t="str">
        <f>IF('PAY Details'!S14&gt;1,'PAY Details'!B14," ")</f>
        <v xml:space="preserve"> </v>
      </c>
      <c r="E92" s="583" t="str">
        <f>IF('PAY Details'!S14&gt;1,$J$84," ")</f>
        <v xml:space="preserve"> </v>
      </c>
      <c r="F92" s="583"/>
      <c r="G92" s="583"/>
      <c r="H92" s="583"/>
    </row>
    <row r="93" spans="1:10" ht="15.75" customHeight="1" x14ac:dyDescent="0.2">
      <c r="A93" s="321">
        <f t="shared" si="0"/>
        <v>9</v>
      </c>
      <c r="B93" s="578" t="str">
        <f>IF('PAY Details'!S15&gt;0,'PAY Details'!S15," ")</f>
        <v xml:space="preserve"> </v>
      </c>
      <c r="C93" s="578"/>
      <c r="D93" s="322" t="str">
        <f>IF('PAY Details'!S15&gt;1,'PAY Details'!B15," ")</f>
        <v xml:space="preserve"> </v>
      </c>
      <c r="E93" s="584" t="str">
        <f>IF('PAY Details'!S15&gt;1,$J$84," ")</f>
        <v xml:space="preserve"> </v>
      </c>
      <c r="F93" s="584"/>
      <c r="G93" s="584"/>
      <c r="H93" s="584"/>
    </row>
    <row r="94" spans="1:10" s="248" customFormat="1" ht="15.75" customHeight="1" x14ac:dyDescent="0.2">
      <c r="A94" s="276">
        <f t="shared" si="0"/>
        <v>10</v>
      </c>
      <c r="B94" s="579" t="str">
        <f>IF('PAY Details'!S16&gt;0,'PAY Details'!S16," ")</f>
        <v xml:space="preserve"> </v>
      </c>
      <c r="C94" s="579"/>
      <c r="D94" s="277" t="str">
        <f>IF('PAY Details'!S16&gt;1,'PAY Details'!B16," ")</f>
        <v xml:space="preserve"> </v>
      </c>
      <c r="E94" s="583" t="str">
        <f>IF('PAY Details'!S16&gt;1,$J$84," ")</f>
        <v xml:space="preserve"> </v>
      </c>
      <c r="F94" s="583"/>
      <c r="G94" s="583"/>
      <c r="H94" s="583"/>
    </row>
    <row r="95" spans="1:10" ht="15.75" customHeight="1" x14ac:dyDescent="0.2">
      <c r="A95" s="321">
        <f t="shared" si="0"/>
        <v>11</v>
      </c>
      <c r="B95" s="578" t="str">
        <f>IF('PAY Details'!S17&gt;0,'PAY Details'!S17," ")</f>
        <v xml:space="preserve"> </v>
      </c>
      <c r="C95" s="578"/>
      <c r="D95" s="322" t="str">
        <f>IF('PAY Details'!S17&gt;1,'PAY Details'!B17," ")</f>
        <v xml:space="preserve"> </v>
      </c>
      <c r="E95" s="584" t="str">
        <f>IF('PAY Details'!S17&gt;1,$J$84," ")</f>
        <v xml:space="preserve"> </v>
      </c>
      <c r="F95" s="584"/>
      <c r="G95" s="584"/>
      <c r="H95" s="584"/>
    </row>
    <row r="96" spans="1:10" s="248" customFormat="1" ht="15.75" customHeight="1" x14ac:dyDescent="0.2">
      <c r="A96" s="278">
        <f t="shared" si="0"/>
        <v>12</v>
      </c>
      <c r="B96" s="591" t="str">
        <f>IF('PAY Details'!S18&gt;0,'PAY Details'!S18," ")</f>
        <v xml:space="preserve"> </v>
      </c>
      <c r="C96" s="591"/>
      <c r="D96" s="277" t="str">
        <f>IF('PAY Details'!S18&gt;1,'PAY Details'!B18," ")</f>
        <v xml:space="preserve"> </v>
      </c>
      <c r="E96" s="585" t="str">
        <f>IF('PAY Details'!S18&gt;1,$J$84," ")</f>
        <v xml:space="preserve"> </v>
      </c>
      <c r="F96" s="585"/>
      <c r="G96" s="585"/>
      <c r="H96" s="585"/>
    </row>
    <row r="97" spans="1:8" ht="15.75" customHeight="1" x14ac:dyDescent="0.2">
      <c r="A97" s="324"/>
      <c r="B97" s="602">
        <f>SUM(B85:B96)</f>
        <v>0</v>
      </c>
      <c r="C97" s="602" t="s">
        <v>20</v>
      </c>
      <c r="D97" s="325" t="s">
        <v>20</v>
      </c>
      <c r="E97" s="586"/>
      <c r="F97" s="587"/>
      <c r="G97" s="587"/>
      <c r="H97" s="587"/>
    </row>
    <row r="98" spans="1:8" s="248" customFormat="1" ht="41.25" customHeight="1" x14ac:dyDescent="0.2">
      <c r="A98" s="595" t="s">
        <v>393</v>
      </c>
      <c r="B98" s="596"/>
      <c r="C98" s="596"/>
      <c r="D98" s="596"/>
      <c r="E98" s="596"/>
      <c r="F98" s="596"/>
      <c r="G98" s="596"/>
      <c r="H98" s="597"/>
    </row>
    <row r="99" spans="1:8" ht="15.75" customHeight="1" x14ac:dyDescent="0.25">
      <c r="A99" s="326" t="str">
        <f>+'Sheet1 (2)'!U31</f>
        <v>Rs 0 /-  In Word Rs Only</v>
      </c>
      <c r="B99" s="327"/>
      <c r="C99" s="327"/>
      <c r="D99" s="327"/>
      <c r="E99" s="327"/>
      <c r="F99" s="327"/>
      <c r="G99" s="327"/>
      <c r="H99" s="328"/>
    </row>
    <row r="100" spans="1:8" s="248" customFormat="1" ht="55.5" customHeight="1" x14ac:dyDescent="0.2">
      <c r="A100" s="598" t="s">
        <v>261</v>
      </c>
      <c r="B100" s="599"/>
      <c r="C100" s="599"/>
      <c r="D100" s="599"/>
      <c r="E100" s="599"/>
      <c r="F100" s="599"/>
      <c r="G100" s="599"/>
      <c r="H100" s="600"/>
    </row>
    <row r="101" spans="1:8" ht="24.75" customHeight="1" x14ac:dyDescent="0.25">
      <c r="A101" s="287"/>
      <c r="B101" s="329" t="s">
        <v>21</v>
      </c>
      <c r="C101" s="330"/>
      <c r="D101" s="331" t="s">
        <v>22</v>
      </c>
      <c r="E101" s="300"/>
      <c r="F101" s="300"/>
      <c r="G101" s="319"/>
      <c r="H101" s="332"/>
    </row>
    <row r="102" spans="1:8" s="248" customFormat="1" x14ac:dyDescent="0.2">
      <c r="A102" s="239"/>
      <c r="B102" s="256" t="s">
        <v>24</v>
      </c>
      <c r="D102" s="256"/>
      <c r="E102" s="256"/>
      <c r="F102" s="256"/>
      <c r="G102" s="274" t="s">
        <v>392</v>
      </c>
      <c r="H102" s="279"/>
    </row>
    <row r="103" spans="1:8" ht="15.75" customHeight="1" x14ac:dyDescent="0.2">
      <c r="A103" s="287"/>
      <c r="B103" s="300"/>
      <c r="C103" s="300"/>
      <c r="D103" s="300"/>
      <c r="E103" s="333"/>
      <c r="F103" s="300"/>
      <c r="G103" s="319" t="s">
        <v>23</v>
      </c>
      <c r="H103" s="332"/>
    </row>
    <row r="104" spans="1:8" s="248" customFormat="1" ht="15.75" customHeight="1" x14ac:dyDescent="0.2">
      <c r="A104" s="239"/>
      <c r="B104" s="256"/>
      <c r="C104" s="256"/>
      <c r="D104" s="256"/>
      <c r="E104" s="280"/>
      <c r="F104" s="280"/>
      <c r="G104" s="274" t="s">
        <v>25</v>
      </c>
      <c r="H104" s="279"/>
    </row>
    <row r="105" spans="1:8" ht="15.75" customHeight="1" x14ac:dyDescent="0.2">
      <c r="A105" s="290"/>
      <c r="B105" s="315"/>
      <c r="C105" s="315"/>
      <c r="D105" s="315"/>
      <c r="E105" s="334"/>
      <c r="F105" s="315"/>
      <c r="G105" s="335" t="s">
        <v>26</v>
      </c>
      <c r="H105" s="336"/>
    </row>
    <row r="106" spans="1:8" s="248" customFormat="1" ht="15.75" customHeight="1" x14ac:dyDescent="0.2"/>
  </sheetData>
  <mergeCells count="165">
    <mergeCell ref="A98:H98"/>
    <mergeCell ref="B73:F73"/>
    <mergeCell ref="E92:H92"/>
    <mergeCell ref="E93:H93"/>
    <mergeCell ref="A100:H100"/>
    <mergeCell ref="B84:C84"/>
    <mergeCell ref="B85:C85"/>
    <mergeCell ref="E84:H84"/>
    <mergeCell ref="B97:C97"/>
    <mergeCell ref="E91:H91"/>
    <mergeCell ref="B91:C91"/>
    <mergeCell ref="B92:C92"/>
    <mergeCell ref="B93:C93"/>
    <mergeCell ref="B94:C94"/>
    <mergeCell ref="B95:C95"/>
    <mergeCell ref="E85:H85"/>
    <mergeCell ref="E86:H86"/>
    <mergeCell ref="E87:H87"/>
    <mergeCell ref="E88:H88"/>
    <mergeCell ref="E89:H89"/>
    <mergeCell ref="E90:H90"/>
    <mergeCell ref="B88:C88"/>
    <mergeCell ref="B77:D77"/>
    <mergeCell ref="B74:D74"/>
    <mergeCell ref="B75:D75"/>
    <mergeCell ref="B76:D76"/>
    <mergeCell ref="B78:D78"/>
    <mergeCell ref="B79:D79"/>
    <mergeCell ref="B80:D80"/>
    <mergeCell ref="B81:D81"/>
    <mergeCell ref="E74:F74"/>
    <mergeCell ref="E75:F75"/>
    <mergeCell ref="E76:F76"/>
    <mergeCell ref="E78:F78"/>
    <mergeCell ref="E94:H94"/>
    <mergeCell ref="E95:H95"/>
    <mergeCell ref="E96:H96"/>
    <mergeCell ref="B86:C86"/>
    <mergeCell ref="B87:C87"/>
    <mergeCell ref="E97:H97"/>
    <mergeCell ref="E79:F79"/>
    <mergeCell ref="E80:F80"/>
    <mergeCell ref="E81:G81"/>
    <mergeCell ref="B96:C96"/>
    <mergeCell ref="E62:F62"/>
    <mergeCell ref="B89:C89"/>
    <mergeCell ref="B90:C90"/>
    <mergeCell ref="E63:F63"/>
    <mergeCell ref="E64:F64"/>
    <mergeCell ref="E70:F70"/>
    <mergeCell ref="E71:F71"/>
    <mergeCell ref="E58:F58"/>
    <mergeCell ref="B63:D63"/>
    <mergeCell ref="B64:D64"/>
    <mergeCell ref="B65:D65"/>
    <mergeCell ref="B69:D69"/>
    <mergeCell ref="B70:D70"/>
    <mergeCell ref="B71:D71"/>
    <mergeCell ref="E65:F65"/>
    <mergeCell ref="E66:F66"/>
    <mergeCell ref="E67:F67"/>
    <mergeCell ref="E68:F68"/>
    <mergeCell ref="E69:F69"/>
    <mergeCell ref="B72:D72"/>
    <mergeCell ref="B66:D66"/>
    <mergeCell ref="B62:D62"/>
    <mergeCell ref="B67:D67"/>
    <mergeCell ref="B68:D68"/>
    <mergeCell ref="B49:D49"/>
    <mergeCell ref="B50:D50"/>
    <mergeCell ref="B51:D51"/>
    <mergeCell ref="B52:D52"/>
    <mergeCell ref="B53:D53"/>
    <mergeCell ref="B54:D54"/>
    <mergeCell ref="B55:D55"/>
    <mergeCell ref="B57:D57"/>
    <mergeCell ref="E51:F51"/>
    <mergeCell ref="E52:F52"/>
    <mergeCell ref="E53:F53"/>
    <mergeCell ref="E54:F54"/>
    <mergeCell ref="E55:F55"/>
    <mergeCell ref="B56:F56"/>
    <mergeCell ref="E57:F57"/>
    <mergeCell ref="B38:D38"/>
    <mergeCell ref="E38:F38"/>
    <mergeCell ref="B61:F61"/>
    <mergeCell ref="B21:F21"/>
    <mergeCell ref="E24:F24"/>
    <mergeCell ref="E25:F25"/>
    <mergeCell ref="E46:F46"/>
    <mergeCell ref="E47:F47"/>
    <mergeCell ref="E48:F48"/>
    <mergeCell ref="E49:F49"/>
    <mergeCell ref="E50:F50"/>
    <mergeCell ref="B39:F39"/>
    <mergeCell ref="B40:F40"/>
    <mergeCell ref="E43:F43"/>
    <mergeCell ref="E44:F44"/>
    <mergeCell ref="E45:F45"/>
    <mergeCell ref="E42:F42"/>
    <mergeCell ref="B42:D42"/>
    <mergeCell ref="B43:D43"/>
    <mergeCell ref="B44:D44"/>
    <mergeCell ref="B45:D45"/>
    <mergeCell ref="B46:D46"/>
    <mergeCell ref="B47:D47"/>
    <mergeCell ref="B48:D48"/>
    <mergeCell ref="A9:C9"/>
    <mergeCell ref="A10:C10"/>
    <mergeCell ref="A11:C11"/>
    <mergeCell ref="A12:C12"/>
    <mergeCell ref="A13:C13"/>
    <mergeCell ref="A8:C8"/>
    <mergeCell ref="D8:E8"/>
    <mergeCell ref="D9:E9"/>
    <mergeCell ref="B20:F20"/>
    <mergeCell ref="B19:F19"/>
    <mergeCell ref="A14:H14"/>
    <mergeCell ref="B15:F15"/>
    <mergeCell ref="B16:F16"/>
    <mergeCell ref="B17:F17"/>
    <mergeCell ref="B18:F18"/>
    <mergeCell ref="F8:G8"/>
    <mergeCell ref="F9:H9"/>
    <mergeCell ref="F10:G10"/>
    <mergeCell ref="H11:H12"/>
    <mergeCell ref="D10:E10"/>
    <mergeCell ref="D11:E11"/>
    <mergeCell ref="D12:E12"/>
    <mergeCell ref="D13:E13"/>
    <mergeCell ref="A1:H1"/>
    <mergeCell ref="A2:H2"/>
    <mergeCell ref="A3:H3"/>
    <mergeCell ref="A4:E4"/>
    <mergeCell ref="A5:E5"/>
    <mergeCell ref="A6:E6"/>
    <mergeCell ref="A7:E7"/>
    <mergeCell ref="F4:H4"/>
    <mergeCell ref="F5:H5"/>
    <mergeCell ref="F6:H6"/>
    <mergeCell ref="F7:H7"/>
    <mergeCell ref="B58:D58"/>
    <mergeCell ref="B22:D22"/>
    <mergeCell ref="B23:D23"/>
    <mergeCell ref="B24:D24"/>
    <mergeCell ref="B26:F26"/>
    <mergeCell ref="B27:F27"/>
    <mergeCell ref="B31:F31"/>
    <mergeCell ref="E28:F28"/>
    <mergeCell ref="E29:F29"/>
    <mergeCell ref="B25:D25"/>
    <mergeCell ref="E22:F22"/>
    <mergeCell ref="E23:F23"/>
    <mergeCell ref="E30:F30"/>
    <mergeCell ref="B41:F41"/>
    <mergeCell ref="B37:D37"/>
    <mergeCell ref="B32:F32"/>
    <mergeCell ref="B33:F33"/>
    <mergeCell ref="E37:F37"/>
    <mergeCell ref="B34:D34"/>
    <mergeCell ref="E34:F34"/>
    <mergeCell ref="B35:D35"/>
    <mergeCell ref="E35:F35"/>
    <mergeCell ref="B36:D36"/>
    <mergeCell ref="E36:F36"/>
  </mergeCells>
  <phoneticPr fontId="2" type="noConversion"/>
  <pageMargins left="0.79" right="0.28000000000000003" top="0.21" bottom="0.21" header="0.18" footer="0.14000000000000001"/>
  <pageSetup paperSize="9" scale="94" orientation="portrait" verticalDpi="360" r:id="rId1"/>
  <headerFooter alignWithMargins="0"/>
  <rowBreaks count="1" manualBreakCount="1">
    <brk id="56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28" zoomScale="145" zoomScaleNormal="100" zoomScaleSheetLayoutView="145" workbookViewId="0">
      <selection activeCell="H38" sqref="H38"/>
    </sheetView>
  </sheetViews>
  <sheetFormatPr defaultRowHeight="19.5" customHeight="1" x14ac:dyDescent="0.2"/>
  <cols>
    <col min="1" max="1" width="7.42578125" style="69" customWidth="1"/>
    <col min="2" max="5" width="9.140625" style="70"/>
    <col min="6" max="6" width="10.7109375" style="70" customWidth="1"/>
    <col min="7" max="7" width="1.5703125" style="70" customWidth="1"/>
    <col min="8" max="8" width="13.7109375" style="70" customWidth="1"/>
    <col min="9" max="10" width="8.140625" style="70" customWidth="1"/>
    <col min="11" max="256" width="9.140625" style="70"/>
    <col min="257" max="257" width="7.42578125" style="70" customWidth="1"/>
    <col min="258" max="261" width="9.140625" style="70"/>
    <col min="262" max="262" width="10.7109375" style="70" customWidth="1"/>
    <col min="263" max="263" width="1.5703125" style="70" customWidth="1"/>
    <col min="264" max="264" width="13.7109375" style="70" customWidth="1"/>
    <col min="265" max="266" width="8.140625" style="70" customWidth="1"/>
    <col min="267" max="512" width="9.140625" style="70"/>
    <col min="513" max="513" width="7.42578125" style="70" customWidth="1"/>
    <col min="514" max="517" width="9.140625" style="70"/>
    <col min="518" max="518" width="10.7109375" style="70" customWidth="1"/>
    <col min="519" max="519" width="1.5703125" style="70" customWidth="1"/>
    <col min="520" max="520" width="13.7109375" style="70" customWidth="1"/>
    <col min="521" max="522" width="8.140625" style="70" customWidth="1"/>
    <col min="523" max="768" width="9.140625" style="70"/>
    <col min="769" max="769" width="7.42578125" style="70" customWidth="1"/>
    <col min="770" max="773" width="9.140625" style="70"/>
    <col min="774" max="774" width="10.7109375" style="70" customWidth="1"/>
    <col min="775" max="775" width="1.5703125" style="70" customWidth="1"/>
    <col min="776" max="776" width="13.7109375" style="70" customWidth="1"/>
    <col min="777" max="778" width="8.140625" style="70" customWidth="1"/>
    <col min="779" max="1024" width="9.140625" style="70"/>
    <col min="1025" max="1025" width="7.42578125" style="70" customWidth="1"/>
    <col min="1026" max="1029" width="9.140625" style="70"/>
    <col min="1030" max="1030" width="10.7109375" style="70" customWidth="1"/>
    <col min="1031" max="1031" width="1.5703125" style="70" customWidth="1"/>
    <col min="1032" max="1032" width="13.7109375" style="70" customWidth="1"/>
    <col min="1033" max="1034" width="8.140625" style="70" customWidth="1"/>
    <col min="1035" max="1280" width="9.140625" style="70"/>
    <col min="1281" max="1281" width="7.42578125" style="70" customWidth="1"/>
    <col min="1282" max="1285" width="9.140625" style="70"/>
    <col min="1286" max="1286" width="10.7109375" style="70" customWidth="1"/>
    <col min="1287" max="1287" width="1.5703125" style="70" customWidth="1"/>
    <col min="1288" max="1288" width="13.7109375" style="70" customWidth="1"/>
    <col min="1289" max="1290" width="8.140625" style="70" customWidth="1"/>
    <col min="1291" max="1536" width="9.140625" style="70"/>
    <col min="1537" max="1537" width="7.42578125" style="70" customWidth="1"/>
    <col min="1538" max="1541" width="9.140625" style="70"/>
    <col min="1542" max="1542" width="10.7109375" style="70" customWidth="1"/>
    <col min="1543" max="1543" width="1.5703125" style="70" customWidth="1"/>
    <col min="1544" max="1544" width="13.7109375" style="70" customWidth="1"/>
    <col min="1545" max="1546" width="8.140625" style="70" customWidth="1"/>
    <col min="1547" max="1792" width="9.140625" style="70"/>
    <col min="1793" max="1793" width="7.42578125" style="70" customWidth="1"/>
    <col min="1794" max="1797" width="9.140625" style="70"/>
    <col min="1798" max="1798" width="10.7109375" style="70" customWidth="1"/>
    <col min="1799" max="1799" width="1.5703125" style="70" customWidth="1"/>
    <col min="1800" max="1800" width="13.7109375" style="70" customWidth="1"/>
    <col min="1801" max="1802" width="8.140625" style="70" customWidth="1"/>
    <col min="1803" max="2048" width="9.140625" style="70"/>
    <col min="2049" max="2049" width="7.42578125" style="70" customWidth="1"/>
    <col min="2050" max="2053" width="9.140625" style="70"/>
    <col min="2054" max="2054" width="10.7109375" style="70" customWidth="1"/>
    <col min="2055" max="2055" width="1.5703125" style="70" customWidth="1"/>
    <col min="2056" max="2056" width="13.7109375" style="70" customWidth="1"/>
    <col min="2057" max="2058" width="8.140625" style="70" customWidth="1"/>
    <col min="2059" max="2304" width="9.140625" style="70"/>
    <col min="2305" max="2305" width="7.42578125" style="70" customWidth="1"/>
    <col min="2306" max="2309" width="9.140625" style="70"/>
    <col min="2310" max="2310" width="10.7109375" style="70" customWidth="1"/>
    <col min="2311" max="2311" width="1.5703125" style="70" customWidth="1"/>
    <col min="2312" max="2312" width="13.7109375" style="70" customWidth="1"/>
    <col min="2313" max="2314" width="8.140625" style="70" customWidth="1"/>
    <col min="2315" max="2560" width="9.140625" style="70"/>
    <col min="2561" max="2561" width="7.42578125" style="70" customWidth="1"/>
    <col min="2562" max="2565" width="9.140625" style="70"/>
    <col min="2566" max="2566" width="10.7109375" style="70" customWidth="1"/>
    <col min="2567" max="2567" width="1.5703125" style="70" customWidth="1"/>
    <col min="2568" max="2568" width="13.7109375" style="70" customWidth="1"/>
    <col min="2569" max="2570" width="8.140625" style="70" customWidth="1"/>
    <col min="2571" max="2816" width="9.140625" style="70"/>
    <col min="2817" max="2817" width="7.42578125" style="70" customWidth="1"/>
    <col min="2818" max="2821" width="9.140625" style="70"/>
    <col min="2822" max="2822" width="10.7109375" style="70" customWidth="1"/>
    <col min="2823" max="2823" width="1.5703125" style="70" customWidth="1"/>
    <col min="2824" max="2824" width="13.7109375" style="70" customWidth="1"/>
    <col min="2825" max="2826" width="8.140625" style="70" customWidth="1"/>
    <col min="2827" max="3072" width="9.140625" style="70"/>
    <col min="3073" max="3073" width="7.42578125" style="70" customWidth="1"/>
    <col min="3074" max="3077" width="9.140625" style="70"/>
    <col min="3078" max="3078" width="10.7109375" style="70" customWidth="1"/>
    <col min="3079" max="3079" width="1.5703125" style="70" customWidth="1"/>
    <col min="3080" max="3080" width="13.7109375" style="70" customWidth="1"/>
    <col min="3081" max="3082" width="8.140625" style="70" customWidth="1"/>
    <col min="3083" max="3328" width="9.140625" style="70"/>
    <col min="3329" max="3329" width="7.42578125" style="70" customWidth="1"/>
    <col min="3330" max="3333" width="9.140625" style="70"/>
    <col min="3334" max="3334" width="10.7109375" style="70" customWidth="1"/>
    <col min="3335" max="3335" width="1.5703125" style="70" customWidth="1"/>
    <col min="3336" max="3336" width="13.7109375" style="70" customWidth="1"/>
    <col min="3337" max="3338" width="8.140625" style="70" customWidth="1"/>
    <col min="3339" max="3584" width="9.140625" style="70"/>
    <col min="3585" max="3585" width="7.42578125" style="70" customWidth="1"/>
    <col min="3586" max="3589" width="9.140625" style="70"/>
    <col min="3590" max="3590" width="10.7109375" style="70" customWidth="1"/>
    <col min="3591" max="3591" width="1.5703125" style="70" customWidth="1"/>
    <col min="3592" max="3592" width="13.7109375" style="70" customWidth="1"/>
    <col min="3593" max="3594" width="8.140625" style="70" customWidth="1"/>
    <col min="3595" max="3840" width="9.140625" style="70"/>
    <col min="3841" max="3841" width="7.42578125" style="70" customWidth="1"/>
    <col min="3842" max="3845" width="9.140625" style="70"/>
    <col min="3846" max="3846" width="10.7109375" style="70" customWidth="1"/>
    <col min="3847" max="3847" width="1.5703125" style="70" customWidth="1"/>
    <col min="3848" max="3848" width="13.7109375" style="70" customWidth="1"/>
    <col min="3849" max="3850" width="8.140625" style="70" customWidth="1"/>
    <col min="3851" max="4096" width="9.140625" style="70"/>
    <col min="4097" max="4097" width="7.42578125" style="70" customWidth="1"/>
    <col min="4098" max="4101" width="9.140625" style="70"/>
    <col min="4102" max="4102" width="10.7109375" style="70" customWidth="1"/>
    <col min="4103" max="4103" width="1.5703125" style="70" customWidth="1"/>
    <col min="4104" max="4104" width="13.7109375" style="70" customWidth="1"/>
    <col min="4105" max="4106" width="8.140625" style="70" customWidth="1"/>
    <col min="4107" max="4352" width="9.140625" style="70"/>
    <col min="4353" max="4353" width="7.42578125" style="70" customWidth="1"/>
    <col min="4354" max="4357" width="9.140625" style="70"/>
    <col min="4358" max="4358" width="10.7109375" style="70" customWidth="1"/>
    <col min="4359" max="4359" width="1.5703125" style="70" customWidth="1"/>
    <col min="4360" max="4360" width="13.7109375" style="70" customWidth="1"/>
    <col min="4361" max="4362" width="8.140625" style="70" customWidth="1"/>
    <col min="4363" max="4608" width="9.140625" style="70"/>
    <col min="4609" max="4609" width="7.42578125" style="70" customWidth="1"/>
    <col min="4610" max="4613" width="9.140625" style="70"/>
    <col min="4614" max="4614" width="10.7109375" style="70" customWidth="1"/>
    <col min="4615" max="4615" width="1.5703125" style="70" customWidth="1"/>
    <col min="4616" max="4616" width="13.7109375" style="70" customWidth="1"/>
    <col min="4617" max="4618" width="8.140625" style="70" customWidth="1"/>
    <col min="4619" max="4864" width="9.140625" style="70"/>
    <col min="4865" max="4865" width="7.42578125" style="70" customWidth="1"/>
    <col min="4866" max="4869" width="9.140625" style="70"/>
    <col min="4870" max="4870" width="10.7109375" style="70" customWidth="1"/>
    <col min="4871" max="4871" width="1.5703125" style="70" customWidth="1"/>
    <col min="4872" max="4872" width="13.7109375" style="70" customWidth="1"/>
    <col min="4873" max="4874" width="8.140625" style="70" customWidth="1"/>
    <col min="4875" max="5120" width="9.140625" style="70"/>
    <col min="5121" max="5121" width="7.42578125" style="70" customWidth="1"/>
    <col min="5122" max="5125" width="9.140625" style="70"/>
    <col min="5126" max="5126" width="10.7109375" style="70" customWidth="1"/>
    <col min="5127" max="5127" width="1.5703125" style="70" customWidth="1"/>
    <col min="5128" max="5128" width="13.7109375" style="70" customWidth="1"/>
    <col min="5129" max="5130" width="8.140625" style="70" customWidth="1"/>
    <col min="5131" max="5376" width="9.140625" style="70"/>
    <col min="5377" max="5377" width="7.42578125" style="70" customWidth="1"/>
    <col min="5378" max="5381" width="9.140625" style="70"/>
    <col min="5382" max="5382" width="10.7109375" style="70" customWidth="1"/>
    <col min="5383" max="5383" width="1.5703125" style="70" customWidth="1"/>
    <col min="5384" max="5384" width="13.7109375" style="70" customWidth="1"/>
    <col min="5385" max="5386" width="8.140625" style="70" customWidth="1"/>
    <col min="5387" max="5632" width="9.140625" style="70"/>
    <col min="5633" max="5633" width="7.42578125" style="70" customWidth="1"/>
    <col min="5634" max="5637" width="9.140625" style="70"/>
    <col min="5638" max="5638" width="10.7109375" style="70" customWidth="1"/>
    <col min="5639" max="5639" width="1.5703125" style="70" customWidth="1"/>
    <col min="5640" max="5640" width="13.7109375" style="70" customWidth="1"/>
    <col min="5641" max="5642" width="8.140625" style="70" customWidth="1"/>
    <col min="5643" max="5888" width="9.140625" style="70"/>
    <col min="5889" max="5889" width="7.42578125" style="70" customWidth="1"/>
    <col min="5890" max="5893" width="9.140625" style="70"/>
    <col min="5894" max="5894" width="10.7109375" style="70" customWidth="1"/>
    <col min="5895" max="5895" width="1.5703125" style="70" customWidth="1"/>
    <col min="5896" max="5896" width="13.7109375" style="70" customWidth="1"/>
    <col min="5897" max="5898" width="8.140625" style="70" customWidth="1"/>
    <col min="5899" max="6144" width="9.140625" style="70"/>
    <col min="6145" max="6145" width="7.42578125" style="70" customWidth="1"/>
    <col min="6146" max="6149" width="9.140625" style="70"/>
    <col min="6150" max="6150" width="10.7109375" style="70" customWidth="1"/>
    <col min="6151" max="6151" width="1.5703125" style="70" customWidth="1"/>
    <col min="6152" max="6152" width="13.7109375" style="70" customWidth="1"/>
    <col min="6153" max="6154" width="8.140625" style="70" customWidth="1"/>
    <col min="6155" max="6400" width="9.140625" style="70"/>
    <col min="6401" max="6401" width="7.42578125" style="70" customWidth="1"/>
    <col min="6402" max="6405" width="9.140625" style="70"/>
    <col min="6406" max="6406" width="10.7109375" style="70" customWidth="1"/>
    <col min="6407" max="6407" width="1.5703125" style="70" customWidth="1"/>
    <col min="6408" max="6408" width="13.7109375" style="70" customWidth="1"/>
    <col min="6409" max="6410" width="8.140625" style="70" customWidth="1"/>
    <col min="6411" max="6656" width="9.140625" style="70"/>
    <col min="6657" max="6657" width="7.42578125" style="70" customWidth="1"/>
    <col min="6658" max="6661" width="9.140625" style="70"/>
    <col min="6662" max="6662" width="10.7109375" style="70" customWidth="1"/>
    <col min="6663" max="6663" width="1.5703125" style="70" customWidth="1"/>
    <col min="6664" max="6664" width="13.7109375" style="70" customWidth="1"/>
    <col min="6665" max="6666" width="8.140625" style="70" customWidth="1"/>
    <col min="6667" max="6912" width="9.140625" style="70"/>
    <col min="6913" max="6913" width="7.42578125" style="70" customWidth="1"/>
    <col min="6914" max="6917" width="9.140625" style="70"/>
    <col min="6918" max="6918" width="10.7109375" style="70" customWidth="1"/>
    <col min="6919" max="6919" width="1.5703125" style="70" customWidth="1"/>
    <col min="6920" max="6920" width="13.7109375" style="70" customWidth="1"/>
    <col min="6921" max="6922" width="8.140625" style="70" customWidth="1"/>
    <col min="6923" max="7168" width="9.140625" style="70"/>
    <col min="7169" max="7169" width="7.42578125" style="70" customWidth="1"/>
    <col min="7170" max="7173" width="9.140625" style="70"/>
    <col min="7174" max="7174" width="10.7109375" style="70" customWidth="1"/>
    <col min="7175" max="7175" width="1.5703125" style="70" customWidth="1"/>
    <col min="7176" max="7176" width="13.7109375" style="70" customWidth="1"/>
    <col min="7177" max="7178" width="8.140625" style="70" customWidth="1"/>
    <col min="7179" max="7424" width="9.140625" style="70"/>
    <col min="7425" max="7425" width="7.42578125" style="70" customWidth="1"/>
    <col min="7426" max="7429" width="9.140625" style="70"/>
    <col min="7430" max="7430" width="10.7109375" style="70" customWidth="1"/>
    <col min="7431" max="7431" width="1.5703125" style="70" customWidth="1"/>
    <col min="7432" max="7432" width="13.7109375" style="70" customWidth="1"/>
    <col min="7433" max="7434" width="8.140625" style="70" customWidth="1"/>
    <col min="7435" max="7680" width="9.140625" style="70"/>
    <col min="7681" max="7681" width="7.42578125" style="70" customWidth="1"/>
    <col min="7682" max="7685" width="9.140625" style="70"/>
    <col min="7686" max="7686" width="10.7109375" style="70" customWidth="1"/>
    <col min="7687" max="7687" width="1.5703125" style="70" customWidth="1"/>
    <col min="7688" max="7688" width="13.7109375" style="70" customWidth="1"/>
    <col min="7689" max="7690" width="8.140625" style="70" customWidth="1"/>
    <col min="7691" max="7936" width="9.140625" style="70"/>
    <col min="7937" max="7937" width="7.42578125" style="70" customWidth="1"/>
    <col min="7938" max="7941" width="9.140625" style="70"/>
    <col min="7942" max="7942" width="10.7109375" style="70" customWidth="1"/>
    <col min="7943" max="7943" width="1.5703125" style="70" customWidth="1"/>
    <col min="7944" max="7944" width="13.7109375" style="70" customWidth="1"/>
    <col min="7945" max="7946" width="8.140625" style="70" customWidth="1"/>
    <col min="7947" max="8192" width="9.140625" style="70"/>
    <col min="8193" max="8193" width="7.42578125" style="70" customWidth="1"/>
    <col min="8194" max="8197" width="9.140625" style="70"/>
    <col min="8198" max="8198" width="10.7109375" style="70" customWidth="1"/>
    <col min="8199" max="8199" width="1.5703125" style="70" customWidth="1"/>
    <col min="8200" max="8200" width="13.7109375" style="70" customWidth="1"/>
    <col min="8201" max="8202" width="8.140625" style="70" customWidth="1"/>
    <col min="8203" max="8448" width="9.140625" style="70"/>
    <col min="8449" max="8449" width="7.42578125" style="70" customWidth="1"/>
    <col min="8450" max="8453" width="9.140625" style="70"/>
    <col min="8454" max="8454" width="10.7109375" style="70" customWidth="1"/>
    <col min="8455" max="8455" width="1.5703125" style="70" customWidth="1"/>
    <col min="8456" max="8456" width="13.7109375" style="70" customWidth="1"/>
    <col min="8457" max="8458" width="8.140625" style="70" customWidth="1"/>
    <col min="8459" max="8704" width="9.140625" style="70"/>
    <col min="8705" max="8705" width="7.42578125" style="70" customWidth="1"/>
    <col min="8706" max="8709" width="9.140625" style="70"/>
    <col min="8710" max="8710" width="10.7109375" style="70" customWidth="1"/>
    <col min="8711" max="8711" width="1.5703125" style="70" customWidth="1"/>
    <col min="8712" max="8712" width="13.7109375" style="70" customWidth="1"/>
    <col min="8713" max="8714" width="8.140625" style="70" customWidth="1"/>
    <col min="8715" max="8960" width="9.140625" style="70"/>
    <col min="8961" max="8961" width="7.42578125" style="70" customWidth="1"/>
    <col min="8962" max="8965" width="9.140625" style="70"/>
    <col min="8966" max="8966" width="10.7109375" style="70" customWidth="1"/>
    <col min="8967" max="8967" width="1.5703125" style="70" customWidth="1"/>
    <col min="8968" max="8968" width="13.7109375" style="70" customWidth="1"/>
    <col min="8969" max="8970" width="8.140625" style="70" customWidth="1"/>
    <col min="8971" max="9216" width="9.140625" style="70"/>
    <col min="9217" max="9217" width="7.42578125" style="70" customWidth="1"/>
    <col min="9218" max="9221" width="9.140625" style="70"/>
    <col min="9222" max="9222" width="10.7109375" style="70" customWidth="1"/>
    <col min="9223" max="9223" width="1.5703125" style="70" customWidth="1"/>
    <col min="9224" max="9224" width="13.7109375" style="70" customWidth="1"/>
    <col min="9225" max="9226" width="8.140625" style="70" customWidth="1"/>
    <col min="9227" max="9472" width="9.140625" style="70"/>
    <col min="9473" max="9473" width="7.42578125" style="70" customWidth="1"/>
    <col min="9474" max="9477" width="9.140625" style="70"/>
    <col min="9478" max="9478" width="10.7109375" style="70" customWidth="1"/>
    <col min="9479" max="9479" width="1.5703125" style="70" customWidth="1"/>
    <col min="9480" max="9480" width="13.7109375" style="70" customWidth="1"/>
    <col min="9481" max="9482" width="8.140625" style="70" customWidth="1"/>
    <col min="9483" max="9728" width="9.140625" style="70"/>
    <col min="9729" max="9729" width="7.42578125" style="70" customWidth="1"/>
    <col min="9730" max="9733" width="9.140625" style="70"/>
    <col min="9734" max="9734" width="10.7109375" style="70" customWidth="1"/>
    <col min="9735" max="9735" width="1.5703125" style="70" customWidth="1"/>
    <col min="9736" max="9736" width="13.7109375" style="70" customWidth="1"/>
    <col min="9737" max="9738" width="8.140625" style="70" customWidth="1"/>
    <col min="9739" max="9984" width="9.140625" style="70"/>
    <col min="9985" max="9985" width="7.42578125" style="70" customWidth="1"/>
    <col min="9986" max="9989" width="9.140625" style="70"/>
    <col min="9990" max="9990" width="10.7109375" style="70" customWidth="1"/>
    <col min="9991" max="9991" width="1.5703125" style="70" customWidth="1"/>
    <col min="9992" max="9992" width="13.7109375" style="70" customWidth="1"/>
    <col min="9993" max="9994" width="8.140625" style="70" customWidth="1"/>
    <col min="9995" max="10240" width="9.140625" style="70"/>
    <col min="10241" max="10241" width="7.42578125" style="70" customWidth="1"/>
    <col min="10242" max="10245" width="9.140625" style="70"/>
    <col min="10246" max="10246" width="10.7109375" style="70" customWidth="1"/>
    <col min="10247" max="10247" width="1.5703125" style="70" customWidth="1"/>
    <col min="10248" max="10248" width="13.7109375" style="70" customWidth="1"/>
    <col min="10249" max="10250" width="8.140625" style="70" customWidth="1"/>
    <col min="10251" max="10496" width="9.140625" style="70"/>
    <col min="10497" max="10497" width="7.42578125" style="70" customWidth="1"/>
    <col min="10498" max="10501" width="9.140625" style="70"/>
    <col min="10502" max="10502" width="10.7109375" style="70" customWidth="1"/>
    <col min="10503" max="10503" width="1.5703125" style="70" customWidth="1"/>
    <col min="10504" max="10504" width="13.7109375" style="70" customWidth="1"/>
    <col min="10505" max="10506" width="8.140625" style="70" customWidth="1"/>
    <col min="10507" max="10752" width="9.140625" style="70"/>
    <col min="10753" max="10753" width="7.42578125" style="70" customWidth="1"/>
    <col min="10754" max="10757" width="9.140625" style="70"/>
    <col min="10758" max="10758" width="10.7109375" style="70" customWidth="1"/>
    <col min="10759" max="10759" width="1.5703125" style="70" customWidth="1"/>
    <col min="10760" max="10760" width="13.7109375" style="70" customWidth="1"/>
    <col min="10761" max="10762" width="8.140625" style="70" customWidth="1"/>
    <col min="10763" max="11008" width="9.140625" style="70"/>
    <col min="11009" max="11009" width="7.42578125" style="70" customWidth="1"/>
    <col min="11010" max="11013" width="9.140625" style="70"/>
    <col min="11014" max="11014" width="10.7109375" style="70" customWidth="1"/>
    <col min="11015" max="11015" width="1.5703125" style="70" customWidth="1"/>
    <col min="11016" max="11016" width="13.7109375" style="70" customWidth="1"/>
    <col min="11017" max="11018" width="8.140625" style="70" customWidth="1"/>
    <col min="11019" max="11264" width="9.140625" style="70"/>
    <col min="11265" max="11265" width="7.42578125" style="70" customWidth="1"/>
    <col min="11266" max="11269" width="9.140625" style="70"/>
    <col min="11270" max="11270" width="10.7109375" style="70" customWidth="1"/>
    <col min="11271" max="11271" width="1.5703125" style="70" customWidth="1"/>
    <col min="11272" max="11272" width="13.7109375" style="70" customWidth="1"/>
    <col min="11273" max="11274" width="8.140625" style="70" customWidth="1"/>
    <col min="11275" max="11520" width="9.140625" style="70"/>
    <col min="11521" max="11521" width="7.42578125" style="70" customWidth="1"/>
    <col min="11522" max="11525" width="9.140625" style="70"/>
    <col min="11526" max="11526" width="10.7109375" style="70" customWidth="1"/>
    <col min="11527" max="11527" width="1.5703125" style="70" customWidth="1"/>
    <col min="11528" max="11528" width="13.7109375" style="70" customWidth="1"/>
    <col min="11529" max="11530" width="8.140625" style="70" customWidth="1"/>
    <col min="11531" max="11776" width="9.140625" style="70"/>
    <col min="11777" max="11777" width="7.42578125" style="70" customWidth="1"/>
    <col min="11778" max="11781" width="9.140625" style="70"/>
    <col min="11782" max="11782" width="10.7109375" style="70" customWidth="1"/>
    <col min="11783" max="11783" width="1.5703125" style="70" customWidth="1"/>
    <col min="11784" max="11784" width="13.7109375" style="70" customWidth="1"/>
    <col min="11785" max="11786" width="8.140625" style="70" customWidth="1"/>
    <col min="11787" max="12032" width="9.140625" style="70"/>
    <col min="12033" max="12033" width="7.42578125" style="70" customWidth="1"/>
    <col min="12034" max="12037" width="9.140625" style="70"/>
    <col min="12038" max="12038" width="10.7109375" style="70" customWidth="1"/>
    <col min="12039" max="12039" width="1.5703125" style="70" customWidth="1"/>
    <col min="12040" max="12040" width="13.7109375" style="70" customWidth="1"/>
    <col min="12041" max="12042" width="8.140625" style="70" customWidth="1"/>
    <col min="12043" max="12288" width="9.140625" style="70"/>
    <col min="12289" max="12289" width="7.42578125" style="70" customWidth="1"/>
    <col min="12290" max="12293" width="9.140625" style="70"/>
    <col min="12294" max="12294" width="10.7109375" style="70" customWidth="1"/>
    <col min="12295" max="12295" width="1.5703125" style="70" customWidth="1"/>
    <col min="12296" max="12296" width="13.7109375" style="70" customWidth="1"/>
    <col min="12297" max="12298" width="8.140625" style="70" customWidth="1"/>
    <col min="12299" max="12544" width="9.140625" style="70"/>
    <col min="12545" max="12545" width="7.42578125" style="70" customWidth="1"/>
    <col min="12546" max="12549" width="9.140625" style="70"/>
    <col min="12550" max="12550" width="10.7109375" style="70" customWidth="1"/>
    <col min="12551" max="12551" width="1.5703125" style="70" customWidth="1"/>
    <col min="12552" max="12552" width="13.7109375" style="70" customWidth="1"/>
    <col min="12553" max="12554" width="8.140625" style="70" customWidth="1"/>
    <col min="12555" max="12800" width="9.140625" style="70"/>
    <col min="12801" max="12801" width="7.42578125" style="70" customWidth="1"/>
    <col min="12802" max="12805" width="9.140625" style="70"/>
    <col min="12806" max="12806" width="10.7109375" style="70" customWidth="1"/>
    <col min="12807" max="12807" width="1.5703125" style="70" customWidth="1"/>
    <col min="12808" max="12808" width="13.7109375" style="70" customWidth="1"/>
    <col min="12809" max="12810" width="8.140625" style="70" customWidth="1"/>
    <col min="12811" max="13056" width="9.140625" style="70"/>
    <col min="13057" max="13057" width="7.42578125" style="70" customWidth="1"/>
    <col min="13058" max="13061" width="9.140625" style="70"/>
    <col min="13062" max="13062" width="10.7109375" style="70" customWidth="1"/>
    <col min="13063" max="13063" width="1.5703125" style="70" customWidth="1"/>
    <col min="13064" max="13064" width="13.7109375" style="70" customWidth="1"/>
    <col min="13065" max="13066" width="8.140625" style="70" customWidth="1"/>
    <col min="13067" max="13312" width="9.140625" style="70"/>
    <col min="13313" max="13313" width="7.42578125" style="70" customWidth="1"/>
    <col min="13314" max="13317" width="9.140625" style="70"/>
    <col min="13318" max="13318" width="10.7109375" style="70" customWidth="1"/>
    <col min="13319" max="13319" width="1.5703125" style="70" customWidth="1"/>
    <col min="13320" max="13320" width="13.7109375" style="70" customWidth="1"/>
    <col min="13321" max="13322" width="8.140625" style="70" customWidth="1"/>
    <col min="13323" max="13568" width="9.140625" style="70"/>
    <col min="13569" max="13569" width="7.42578125" style="70" customWidth="1"/>
    <col min="13570" max="13573" width="9.140625" style="70"/>
    <col min="13574" max="13574" width="10.7109375" style="70" customWidth="1"/>
    <col min="13575" max="13575" width="1.5703125" style="70" customWidth="1"/>
    <col min="13576" max="13576" width="13.7109375" style="70" customWidth="1"/>
    <col min="13577" max="13578" width="8.140625" style="70" customWidth="1"/>
    <col min="13579" max="13824" width="9.140625" style="70"/>
    <col min="13825" max="13825" width="7.42578125" style="70" customWidth="1"/>
    <col min="13826" max="13829" width="9.140625" style="70"/>
    <col min="13830" max="13830" width="10.7109375" style="70" customWidth="1"/>
    <col min="13831" max="13831" width="1.5703125" style="70" customWidth="1"/>
    <col min="13832" max="13832" width="13.7109375" style="70" customWidth="1"/>
    <col min="13833" max="13834" width="8.140625" style="70" customWidth="1"/>
    <col min="13835" max="14080" width="9.140625" style="70"/>
    <col min="14081" max="14081" width="7.42578125" style="70" customWidth="1"/>
    <col min="14082" max="14085" width="9.140625" style="70"/>
    <col min="14086" max="14086" width="10.7109375" style="70" customWidth="1"/>
    <col min="14087" max="14087" width="1.5703125" style="70" customWidth="1"/>
    <col min="14088" max="14088" width="13.7109375" style="70" customWidth="1"/>
    <col min="14089" max="14090" width="8.140625" style="70" customWidth="1"/>
    <col min="14091" max="14336" width="9.140625" style="70"/>
    <col min="14337" max="14337" width="7.42578125" style="70" customWidth="1"/>
    <col min="14338" max="14341" width="9.140625" style="70"/>
    <col min="14342" max="14342" width="10.7109375" style="70" customWidth="1"/>
    <col min="14343" max="14343" width="1.5703125" style="70" customWidth="1"/>
    <col min="14344" max="14344" width="13.7109375" style="70" customWidth="1"/>
    <col min="14345" max="14346" width="8.140625" style="70" customWidth="1"/>
    <col min="14347" max="14592" width="9.140625" style="70"/>
    <col min="14593" max="14593" width="7.42578125" style="70" customWidth="1"/>
    <col min="14594" max="14597" width="9.140625" style="70"/>
    <col min="14598" max="14598" width="10.7109375" style="70" customWidth="1"/>
    <col min="14599" max="14599" width="1.5703125" style="70" customWidth="1"/>
    <col min="14600" max="14600" width="13.7109375" style="70" customWidth="1"/>
    <col min="14601" max="14602" width="8.140625" style="70" customWidth="1"/>
    <col min="14603" max="14848" width="9.140625" style="70"/>
    <col min="14849" max="14849" width="7.42578125" style="70" customWidth="1"/>
    <col min="14850" max="14853" width="9.140625" style="70"/>
    <col min="14854" max="14854" width="10.7109375" style="70" customWidth="1"/>
    <col min="14855" max="14855" width="1.5703125" style="70" customWidth="1"/>
    <col min="14856" max="14856" width="13.7109375" style="70" customWidth="1"/>
    <col min="14857" max="14858" width="8.140625" style="70" customWidth="1"/>
    <col min="14859" max="15104" width="9.140625" style="70"/>
    <col min="15105" max="15105" width="7.42578125" style="70" customWidth="1"/>
    <col min="15106" max="15109" width="9.140625" style="70"/>
    <col min="15110" max="15110" width="10.7109375" style="70" customWidth="1"/>
    <col min="15111" max="15111" width="1.5703125" style="70" customWidth="1"/>
    <col min="15112" max="15112" width="13.7109375" style="70" customWidth="1"/>
    <col min="15113" max="15114" width="8.140625" style="70" customWidth="1"/>
    <col min="15115" max="15360" width="9.140625" style="70"/>
    <col min="15361" max="15361" width="7.42578125" style="70" customWidth="1"/>
    <col min="15362" max="15365" width="9.140625" style="70"/>
    <col min="15366" max="15366" width="10.7109375" style="70" customWidth="1"/>
    <col min="15367" max="15367" width="1.5703125" style="70" customWidth="1"/>
    <col min="15368" max="15368" width="13.7109375" style="70" customWidth="1"/>
    <col min="15369" max="15370" width="8.140625" style="70" customWidth="1"/>
    <col min="15371" max="15616" width="9.140625" style="70"/>
    <col min="15617" max="15617" width="7.42578125" style="70" customWidth="1"/>
    <col min="15618" max="15621" width="9.140625" style="70"/>
    <col min="15622" max="15622" width="10.7109375" style="70" customWidth="1"/>
    <col min="15623" max="15623" width="1.5703125" style="70" customWidth="1"/>
    <col min="15624" max="15624" width="13.7109375" style="70" customWidth="1"/>
    <col min="15625" max="15626" width="8.140625" style="70" customWidth="1"/>
    <col min="15627" max="15872" width="9.140625" style="70"/>
    <col min="15873" max="15873" width="7.42578125" style="70" customWidth="1"/>
    <col min="15874" max="15877" width="9.140625" style="70"/>
    <col min="15878" max="15878" width="10.7109375" style="70" customWidth="1"/>
    <col min="15879" max="15879" width="1.5703125" style="70" customWidth="1"/>
    <col min="15880" max="15880" width="13.7109375" style="70" customWidth="1"/>
    <col min="15881" max="15882" width="8.140625" style="70" customWidth="1"/>
    <col min="15883" max="16128" width="9.140625" style="70"/>
    <col min="16129" max="16129" width="7.42578125" style="70" customWidth="1"/>
    <col min="16130" max="16133" width="9.140625" style="70"/>
    <col min="16134" max="16134" width="10.7109375" style="70" customWidth="1"/>
    <col min="16135" max="16135" width="1.5703125" style="70" customWidth="1"/>
    <col min="16136" max="16136" width="13.7109375" style="70" customWidth="1"/>
    <col min="16137" max="16138" width="8.140625" style="70" customWidth="1"/>
    <col min="16139" max="16384" width="9.140625" style="70"/>
  </cols>
  <sheetData>
    <row r="1" spans="1:10" ht="19.5" customHeight="1" x14ac:dyDescent="0.2">
      <c r="A1" s="342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9.5" customHeight="1" x14ac:dyDescent="0.2">
      <c r="A2" s="342"/>
      <c r="B2" s="343" t="s">
        <v>360</v>
      </c>
      <c r="C2" s="344"/>
      <c r="D2" s="344" t="s">
        <v>361</v>
      </c>
      <c r="E2" s="343"/>
      <c r="F2" s="343"/>
      <c r="G2" s="343"/>
      <c r="H2" s="343"/>
      <c r="I2" s="343"/>
      <c r="J2" s="343"/>
    </row>
    <row r="3" spans="1:10" ht="19.5" customHeight="1" x14ac:dyDescent="0.2">
      <c r="A3" s="342"/>
      <c r="B3" s="343" t="s">
        <v>362</v>
      </c>
      <c r="C3" s="344"/>
      <c r="D3" s="344" t="s">
        <v>338</v>
      </c>
      <c r="E3" s="343"/>
      <c r="F3" s="343"/>
      <c r="G3" s="343"/>
      <c r="H3" s="343"/>
      <c r="I3" s="343"/>
      <c r="J3" s="343"/>
    </row>
    <row r="4" spans="1:10" ht="19.5" customHeight="1" x14ac:dyDescent="0.2">
      <c r="A4" s="342"/>
      <c r="B4" s="343" t="s">
        <v>363</v>
      </c>
      <c r="C4" s="344"/>
      <c r="D4" s="344" t="s">
        <v>364</v>
      </c>
      <c r="E4" s="343"/>
      <c r="F4" s="343"/>
      <c r="G4" s="343"/>
      <c r="H4" s="343"/>
      <c r="I4" s="343"/>
      <c r="J4" s="343"/>
    </row>
    <row r="5" spans="1:10" ht="19.5" customHeight="1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9.5" customHeight="1" x14ac:dyDescent="0.2">
      <c r="A6" s="345" t="s">
        <v>69</v>
      </c>
      <c r="B6" s="346" t="s">
        <v>70</v>
      </c>
      <c r="C6" s="346" t="s">
        <v>365</v>
      </c>
      <c r="D6" s="346" t="s">
        <v>366</v>
      </c>
      <c r="E6" s="346" t="s">
        <v>367</v>
      </c>
      <c r="F6" s="607" t="s">
        <v>368</v>
      </c>
      <c r="G6" s="607"/>
      <c r="H6" s="607"/>
      <c r="I6" s="608"/>
      <c r="J6" s="347"/>
    </row>
    <row r="7" spans="1:10" ht="19.5" customHeight="1" x14ac:dyDescent="0.2">
      <c r="A7" s="342"/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9.5" customHeight="1" x14ac:dyDescent="0.2">
      <c r="A8" s="348">
        <v>1</v>
      </c>
      <c r="B8" s="349">
        <v>42826</v>
      </c>
      <c r="C8" s="350">
        <v>618800</v>
      </c>
      <c r="D8" s="350">
        <v>9520</v>
      </c>
      <c r="E8" s="350">
        <f t="shared" ref="E8:E19" si="0">C8-D8</f>
        <v>609280</v>
      </c>
      <c r="F8" s="351">
        <f t="shared" ref="F8:F19" si="1">C8</f>
        <v>618800</v>
      </c>
      <c r="G8" s="352"/>
      <c r="H8" s="353" t="s">
        <v>369</v>
      </c>
      <c r="I8" s="354">
        <f>ROUND(F8*9.5/100/12,0)</f>
        <v>4899</v>
      </c>
      <c r="J8" s="355"/>
    </row>
    <row r="9" spans="1:10" ht="19.5" customHeight="1" x14ac:dyDescent="0.2">
      <c r="A9" s="356">
        <v>2</v>
      </c>
      <c r="B9" s="357">
        <f>B8+31</f>
        <v>42857</v>
      </c>
      <c r="C9" s="358">
        <f t="shared" ref="C9:C19" si="2">E8</f>
        <v>609280</v>
      </c>
      <c r="D9" s="358">
        <f t="shared" ref="D9:D19" si="3">D8</f>
        <v>9520</v>
      </c>
      <c r="E9" s="358">
        <f t="shared" si="0"/>
        <v>599760</v>
      </c>
      <c r="F9" s="359">
        <f t="shared" si="1"/>
        <v>609280</v>
      </c>
      <c r="G9" s="360"/>
      <c r="H9" s="361" t="s">
        <v>370</v>
      </c>
      <c r="I9" s="362">
        <f>ROUND(F9*9.5/100/12,0)</f>
        <v>4823</v>
      </c>
      <c r="J9" s="355"/>
    </row>
    <row r="10" spans="1:10" ht="19.5" customHeight="1" x14ac:dyDescent="0.2">
      <c r="A10" s="356">
        <v>3</v>
      </c>
      <c r="B10" s="357">
        <f t="shared" ref="B10:B19" si="4">B9+31</f>
        <v>42888</v>
      </c>
      <c r="C10" s="358">
        <f t="shared" si="2"/>
        <v>599760</v>
      </c>
      <c r="D10" s="358">
        <f t="shared" si="3"/>
        <v>9520</v>
      </c>
      <c r="E10" s="358">
        <f t="shared" si="0"/>
        <v>590240</v>
      </c>
      <c r="F10" s="359">
        <f t="shared" si="1"/>
        <v>599760</v>
      </c>
      <c r="G10" s="360"/>
      <c r="H10" s="361" t="s">
        <v>370</v>
      </c>
      <c r="I10" s="362">
        <f t="shared" ref="I10:I19" si="5">ROUND(F10*9.5/100/12,0)</f>
        <v>4748</v>
      </c>
      <c r="J10" s="355"/>
    </row>
    <row r="11" spans="1:10" ht="19.5" customHeight="1" x14ac:dyDescent="0.2">
      <c r="A11" s="356">
        <v>4</v>
      </c>
      <c r="B11" s="357">
        <f t="shared" si="4"/>
        <v>42919</v>
      </c>
      <c r="C11" s="358">
        <f t="shared" si="2"/>
        <v>590240</v>
      </c>
      <c r="D11" s="358">
        <f t="shared" si="3"/>
        <v>9520</v>
      </c>
      <c r="E11" s="358">
        <f t="shared" si="0"/>
        <v>580720</v>
      </c>
      <c r="F11" s="359">
        <f t="shared" si="1"/>
        <v>590240</v>
      </c>
      <c r="G11" s="360"/>
      <c r="H11" s="361" t="s">
        <v>370</v>
      </c>
      <c r="I11" s="362">
        <f t="shared" si="5"/>
        <v>4673</v>
      </c>
      <c r="J11" s="355"/>
    </row>
    <row r="12" spans="1:10" ht="19.5" customHeight="1" x14ac:dyDescent="0.2">
      <c r="A12" s="356">
        <v>5</v>
      </c>
      <c r="B12" s="357">
        <f t="shared" si="4"/>
        <v>42950</v>
      </c>
      <c r="C12" s="358">
        <f t="shared" si="2"/>
        <v>580720</v>
      </c>
      <c r="D12" s="358">
        <f t="shared" si="3"/>
        <v>9520</v>
      </c>
      <c r="E12" s="358">
        <f t="shared" si="0"/>
        <v>571200</v>
      </c>
      <c r="F12" s="359">
        <f t="shared" si="1"/>
        <v>580720</v>
      </c>
      <c r="G12" s="360"/>
      <c r="H12" s="361" t="s">
        <v>370</v>
      </c>
      <c r="I12" s="362">
        <f t="shared" si="5"/>
        <v>4597</v>
      </c>
      <c r="J12" s="355"/>
    </row>
    <row r="13" spans="1:10" ht="19.5" customHeight="1" x14ac:dyDescent="0.2">
      <c r="A13" s="356">
        <v>6</v>
      </c>
      <c r="B13" s="357">
        <f t="shared" si="4"/>
        <v>42981</v>
      </c>
      <c r="C13" s="358">
        <f t="shared" si="2"/>
        <v>571200</v>
      </c>
      <c r="D13" s="358">
        <f t="shared" si="3"/>
        <v>9520</v>
      </c>
      <c r="E13" s="358">
        <f t="shared" si="0"/>
        <v>561680</v>
      </c>
      <c r="F13" s="359">
        <f t="shared" si="1"/>
        <v>571200</v>
      </c>
      <c r="G13" s="360"/>
      <c r="H13" s="361" t="s">
        <v>370</v>
      </c>
      <c r="I13" s="362">
        <f t="shared" si="5"/>
        <v>4522</v>
      </c>
      <c r="J13" s="355"/>
    </row>
    <row r="14" spans="1:10" ht="19.5" customHeight="1" x14ac:dyDescent="0.2">
      <c r="A14" s="356">
        <v>7</v>
      </c>
      <c r="B14" s="357">
        <f t="shared" si="4"/>
        <v>43012</v>
      </c>
      <c r="C14" s="358">
        <f t="shared" si="2"/>
        <v>561680</v>
      </c>
      <c r="D14" s="358">
        <f t="shared" si="3"/>
        <v>9520</v>
      </c>
      <c r="E14" s="358">
        <f t="shared" si="0"/>
        <v>552160</v>
      </c>
      <c r="F14" s="359">
        <f t="shared" si="1"/>
        <v>561680</v>
      </c>
      <c r="G14" s="360"/>
      <c r="H14" s="361" t="s">
        <v>370</v>
      </c>
      <c r="I14" s="362">
        <f t="shared" si="5"/>
        <v>4447</v>
      </c>
      <c r="J14" s="355"/>
    </row>
    <row r="15" spans="1:10" ht="19.5" customHeight="1" x14ac:dyDescent="0.2">
      <c r="A15" s="356">
        <v>8</v>
      </c>
      <c r="B15" s="357">
        <f t="shared" si="4"/>
        <v>43043</v>
      </c>
      <c r="C15" s="358">
        <f t="shared" si="2"/>
        <v>552160</v>
      </c>
      <c r="D15" s="358">
        <f t="shared" si="3"/>
        <v>9520</v>
      </c>
      <c r="E15" s="358">
        <f t="shared" si="0"/>
        <v>542640</v>
      </c>
      <c r="F15" s="359">
        <f t="shared" si="1"/>
        <v>552160</v>
      </c>
      <c r="G15" s="360"/>
      <c r="H15" s="361" t="s">
        <v>370</v>
      </c>
      <c r="I15" s="362">
        <f t="shared" si="5"/>
        <v>4371</v>
      </c>
      <c r="J15" s="355"/>
    </row>
    <row r="16" spans="1:10" ht="19.5" customHeight="1" x14ac:dyDescent="0.2">
      <c r="A16" s="356">
        <v>9</v>
      </c>
      <c r="B16" s="357">
        <f t="shared" si="4"/>
        <v>43074</v>
      </c>
      <c r="C16" s="358">
        <f t="shared" si="2"/>
        <v>542640</v>
      </c>
      <c r="D16" s="358">
        <f t="shared" si="3"/>
        <v>9520</v>
      </c>
      <c r="E16" s="358">
        <f t="shared" si="0"/>
        <v>533120</v>
      </c>
      <c r="F16" s="359">
        <f t="shared" si="1"/>
        <v>542640</v>
      </c>
      <c r="G16" s="360"/>
      <c r="H16" s="361" t="s">
        <v>370</v>
      </c>
      <c r="I16" s="362">
        <f t="shared" si="5"/>
        <v>4296</v>
      </c>
      <c r="J16" s="355"/>
    </row>
    <row r="17" spans="1:10" ht="19.5" customHeight="1" x14ac:dyDescent="0.2">
      <c r="A17" s="356">
        <v>10</v>
      </c>
      <c r="B17" s="357">
        <f t="shared" si="4"/>
        <v>43105</v>
      </c>
      <c r="C17" s="358">
        <f t="shared" si="2"/>
        <v>533120</v>
      </c>
      <c r="D17" s="358">
        <f t="shared" si="3"/>
        <v>9520</v>
      </c>
      <c r="E17" s="358">
        <f t="shared" si="0"/>
        <v>523600</v>
      </c>
      <c r="F17" s="359">
        <f t="shared" si="1"/>
        <v>533120</v>
      </c>
      <c r="G17" s="360"/>
      <c r="H17" s="361" t="s">
        <v>370</v>
      </c>
      <c r="I17" s="362">
        <f t="shared" si="5"/>
        <v>4221</v>
      </c>
      <c r="J17" s="355"/>
    </row>
    <row r="18" spans="1:10" ht="19.5" customHeight="1" x14ac:dyDescent="0.2">
      <c r="A18" s="356">
        <v>11</v>
      </c>
      <c r="B18" s="357">
        <f t="shared" si="4"/>
        <v>43136</v>
      </c>
      <c r="C18" s="358">
        <f t="shared" si="2"/>
        <v>523600</v>
      </c>
      <c r="D18" s="358">
        <f t="shared" si="3"/>
        <v>9520</v>
      </c>
      <c r="E18" s="358">
        <f t="shared" si="0"/>
        <v>514080</v>
      </c>
      <c r="F18" s="359">
        <f t="shared" si="1"/>
        <v>523600</v>
      </c>
      <c r="G18" s="360"/>
      <c r="H18" s="361" t="s">
        <v>370</v>
      </c>
      <c r="I18" s="362">
        <f t="shared" si="5"/>
        <v>4145</v>
      </c>
      <c r="J18" s="355"/>
    </row>
    <row r="19" spans="1:10" ht="19.5" customHeight="1" x14ac:dyDescent="0.2">
      <c r="A19" s="363">
        <v>12</v>
      </c>
      <c r="B19" s="357">
        <f t="shared" si="4"/>
        <v>43167</v>
      </c>
      <c r="C19" s="364">
        <f t="shared" si="2"/>
        <v>514080</v>
      </c>
      <c r="D19" s="364">
        <f t="shared" si="3"/>
        <v>9520</v>
      </c>
      <c r="E19" s="364">
        <f t="shared" si="0"/>
        <v>504560</v>
      </c>
      <c r="F19" s="365">
        <f t="shared" si="1"/>
        <v>514080</v>
      </c>
      <c r="G19" s="366"/>
      <c r="H19" s="361" t="s">
        <v>370</v>
      </c>
      <c r="I19" s="362">
        <f t="shared" si="5"/>
        <v>4070</v>
      </c>
      <c r="J19" s="355"/>
    </row>
    <row r="20" spans="1:10" ht="19.5" customHeight="1" x14ac:dyDescent="0.2">
      <c r="A20" s="345"/>
      <c r="B20" s="367"/>
      <c r="C20" s="367">
        <f>SUM(C8:C19)</f>
        <v>6797280</v>
      </c>
      <c r="D20" s="367">
        <f>SUM(D8:D19)</f>
        <v>114240</v>
      </c>
      <c r="E20" s="367">
        <f>SUM(E8:E19)</f>
        <v>6683040</v>
      </c>
      <c r="F20" s="368">
        <f>SUM(F8:F19)</f>
        <v>6797280</v>
      </c>
      <c r="G20" s="369"/>
      <c r="H20" s="370">
        <f>SUM(H8:H19)</f>
        <v>0</v>
      </c>
      <c r="I20" s="371">
        <f>SUM(I8:I19)</f>
        <v>53812</v>
      </c>
      <c r="J20" s="355"/>
    </row>
    <row r="21" spans="1:10" ht="19.5" customHeight="1" x14ac:dyDescent="0.2">
      <c r="A21" s="342"/>
      <c r="B21" s="343"/>
      <c r="C21" s="343"/>
      <c r="D21" s="343"/>
      <c r="E21" s="343"/>
      <c r="F21" s="343"/>
      <c r="G21" s="343"/>
      <c r="H21" s="343"/>
      <c r="I21" s="343"/>
      <c r="J21" s="343"/>
    </row>
    <row r="22" spans="1:10" ht="19.5" customHeight="1" x14ac:dyDescent="0.2">
      <c r="A22" s="342"/>
      <c r="B22" s="343"/>
      <c r="C22" s="343"/>
      <c r="D22" s="609" t="s">
        <v>371</v>
      </c>
      <c r="E22" s="609"/>
      <c r="F22" s="372">
        <f>E20</f>
        <v>6683040</v>
      </c>
      <c r="G22" s="610" t="s">
        <v>372</v>
      </c>
      <c r="H22" s="373">
        <v>9.5</v>
      </c>
      <c r="I22" s="343"/>
      <c r="J22" s="343"/>
    </row>
    <row r="23" spans="1:10" ht="19.5" customHeight="1" x14ac:dyDescent="0.2">
      <c r="A23" s="342"/>
      <c r="B23" s="343"/>
      <c r="C23" s="343"/>
      <c r="D23" s="609"/>
      <c r="E23" s="609"/>
      <c r="F23" s="342">
        <v>12</v>
      </c>
      <c r="G23" s="610"/>
      <c r="H23" s="342">
        <v>100</v>
      </c>
      <c r="I23" s="343"/>
      <c r="J23" s="343"/>
    </row>
    <row r="24" spans="1:10" ht="5.25" customHeight="1" x14ac:dyDescent="0.2">
      <c r="A24" s="342"/>
      <c r="B24" s="343"/>
      <c r="C24" s="343"/>
      <c r="D24" s="342"/>
      <c r="E24" s="342"/>
      <c r="F24" s="342"/>
      <c r="G24" s="347"/>
      <c r="H24" s="342"/>
      <c r="I24" s="343"/>
      <c r="J24" s="343"/>
    </row>
    <row r="25" spans="1:10" ht="19.5" customHeight="1" x14ac:dyDescent="0.2">
      <c r="A25" s="342"/>
      <c r="B25" s="343"/>
      <c r="C25" s="343"/>
      <c r="D25" s="343"/>
      <c r="E25" s="343" t="s">
        <v>373</v>
      </c>
      <c r="F25" s="343">
        <f>E20/12</f>
        <v>556920</v>
      </c>
      <c r="G25" s="343" t="s">
        <v>372</v>
      </c>
      <c r="H25" s="374">
        <f>H22/100</f>
        <v>9.5000000000000001E-2</v>
      </c>
      <c r="I25" s="343"/>
      <c r="J25" s="343"/>
    </row>
    <row r="26" spans="1:10" ht="5.25" customHeight="1" x14ac:dyDescent="0.2">
      <c r="A26" s="342"/>
      <c r="B26" s="343"/>
      <c r="C26" s="343"/>
      <c r="D26" s="343"/>
      <c r="E26" s="343"/>
      <c r="F26" s="343"/>
      <c r="G26" s="343"/>
      <c r="H26" s="374"/>
      <c r="I26" s="343"/>
      <c r="J26" s="343"/>
    </row>
    <row r="27" spans="1:10" ht="19.5" customHeight="1" x14ac:dyDescent="0.2">
      <c r="A27" s="342"/>
      <c r="B27" s="343"/>
      <c r="C27" s="343"/>
      <c r="D27" s="344" t="s">
        <v>374</v>
      </c>
      <c r="E27" s="343"/>
      <c r="F27" s="375">
        <f>ROUND(F25*H22/100,0)</f>
        <v>52907</v>
      </c>
      <c r="G27" s="343"/>
      <c r="H27" s="343"/>
      <c r="I27" s="343"/>
      <c r="J27" s="343"/>
    </row>
    <row r="28" spans="1:10" ht="19.5" customHeight="1" x14ac:dyDescent="0.2">
      <c r="A28" s="342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9.5" customHeight="1" x14ac:dyDescent="0.2">
      <c r="A29" s="342"/>
      <c r="B29" s="343"/>
      <c r="C29" s="343"/>
      <c r="D29" s="343"/>
      <c r="E29" s="344" t="s">
        <v>375</v>
      </c>
      <c r="F29" s="343"/>
      <c r="G29" s="343"/>
      <c r="H29" s="343"/>
      <c r="I29" s="343"/>
      <c r="J29" s="343"/>
    </row>
    <row r="30" spans="1:10" ht="19.5" customHeight="1" x14ac:dyDescent="0.2">
      <c r="A30" s="342"/>
      <c r="B30" s="343" t="s">
        <v>376</v>
      </c>
      <c r="C30" s="343"/>
      <c r="D30" s="343"/>
      <c r="E30" s="343"/>
      <c r="F30" s="343"/>
      <c r="G30" s="343"/>
      <c r="H30" s="343"/>
      <c r="I30" s="343"/>
      <c r="J30" s="343"/>
    </row>
    <row r="31" spans="1:10" ht="19.5" customHeight="1" x14ac:dyDescent="0.2">
      <c r="A31" s="343" t="s">
        <v>377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ht="19.5" customHeight="1" x14ac:dyDescent="0.2">
      <c r="A32" s="343" t="s">
        <v>378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19.5" customHeight="1" x14ac:dyDescent="0.2">
      <c r="A33" s="343" t="s">
        <v>379</v>
      </c>
      <c r="B33" s="343"/>
      <c r="C33" s="343"/>
      <c r="D33" s="343"/>
      <c r="E33" s="343"/>
      <c r="F33" s="343"/>
      <c r="G33" s="343"/>
      <c r="H33" s="343"/>
      <c r="I33" s="343"/>
      <c r="J33" s="343"/>
    </row>
  </sheetData>
  <mergeCells count="3">
    <mergeCell ref="F6:I6"/>
    <mergeCell ref="D22:E23"/>
    <mergeCell ref="G22:G23"/>
  </mergeCells>
  <pageMargins left="0.93" right="0.75" top="0.64" bottom="1" header="0.38" footer="0.5"/>
  <pageSetup orientation="portrait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82"/>
  <sheetViews>
    <sheetView topLeftCell="A41" workbookViewId="0">
      <selection activeCell="A126" sqref="A126"/>
    </sheetView>
  </sheetViews>
  <sheetFormatPr defaultRowHeight="12.75" x14ac:dyDescent="0.2"/>
  <cols>
    <col min="1" max="1" width="9.140625" style="49"/>
    <col min="2" max="2" width="12.5703125" style="49" bestFit="1" customWidth="1"/>
    <col min="3" max="3" width="6.5703125" style="49" customWidth="1"/>
    <col min="4" max="13" width="2" style="49" bestFit="1" customWidth="1"/>
    <col min="14" max="14" width="3.85546875" style="49" bestFit="1" customWidth="1"/>
    <col min="15" max="15" width="2" style="49" bestFit="1" customWidth="1"/>
    <col min="16" max="16" width="5.42578125" style="49" bestFit="1" customWidth="1"/>
    <col min="17" max="17" width="11.7109375" style="49" bestFit="1" customWidth="1"/>
    <col min="18" max="18" width="10.7109375" style="49" bestFit="1" customWidth="1"/>
    <col min="19" max="19" width="39.28515625" style="49" bestFit="1" customWidth="1"/>
    <col min="20" max="21" width="9.140625" style="49"/>
    <col min="22" max="22" width="10.7109375" style="49" bestFit="1" customWidth="1"/>
    <col min="23" max="257" width="9.140625" style="49"/>
    <col min="258" max="258" width="12.5703125" style="49" bestFit="1" customWidth="1"/>
    <col min="259" max="259" width="6.5703125" style="49" customWidth="1"/>
    <col min="260" max="269" width="2" style="49" bestFit="1" customWidth="1"/>
    <col min="270" max="270" width="3.85546875" style="49" bestFit="1" customWidth="1"/>
    <col min="271" max="271" width="2" style="49" bestFit="1" customWidth="1"/>
    <col min="272" max="272" width="5.42578125" style="49" bestFit="1" customWidth="1"/>
    <col min="273" max="273" width="11.7109375" style="49" bestFit="1" customWidth="1"/>
    <col min="274" max="274" width="6.140625" style="49" bestFit="1" customWidth="1"/>
    <col min="275" max="275" width="39.28515625" style="49" bestFit="1" customWidth="1"/>
    <col min="276" max="513" width="9.140625" style="49"/>
    <col min="514" max="514" width="12.5703125" style="49" bestFit="1" customWidth="1"/>
    <col min="515" max="515" width="6.5703125" style="49" customWidth="1"/>
    <col min="516" max="525" width="2" style="49" bestFit="1" customWidth="1"/>
    <col min="526" max="526" width="3.85546875" style="49" bestFit="1" customWidth="1"/>
    <col min="527" max="527" width="2" style="49" bestFit="1" customWidth="1"/>
    <col min="528" max="528" width="5.42578125" style="49" bestFit="1" customWidth="1"/>
    <col min="529" max="529" width="11.7109375" style="49" bestFit="1" customWidth="1"/>
    <col min="530" max="530" width="6.140625" style="49" bestFit="1" customWidth="1"/>
    <col min="531" max="531" width="39.28515625" style="49" bestFit="1" customWidth="1"/>
    <col min="532" max="769" width="9.140625" style="49"/>
    <col min="770" max="770" width="12.5703125" style="49" bestFit="1" customWidth="1"/>
    <col min="771" max="771" width="6.5703125" style="49" customWidth="1"/>
    <col min="772" max="781" width="2" style="49" bestFit="1" customWidth="1"/>
    <col min="782" max="782" width="3.85546875" style="49" bestFit="1" customWidth="1"/>
    <col min="783" max="783" width="2" style="49" bestFit="1" customWidth="1"/>
    <col min="784" max="784" width="5.42578125" style="49" bestFit="1" customWidth="1"/>
    <col min="785" max="785" width="11.7109375" style="49" bestFit="1" customWidth="1"/>
    <col min="786" max="786" width="6.140625" style="49" bestFit="1" customWidth="1"/>
    <col min="787" max="787" width="39.28515625" style="49" bestFit="1" customWidth="1"/>
    <col min="788" max="1025" width="9.140625" style="49"/>
    <col min="1026" max="1026" width="12.5703125" style="49" bestFit="1" customWidth="1"/>
    <col min="1027" max="1027" width="6.5703125" style="49" customWidth="1"/>
    <col min="1028" max="1037" width="2" style="49" bestFit="1" customWidth="1"/>
    <col min="1038" max="1038" width="3.85546875" style="49" bestFit="1" customWidth="1"/>
    <col min="1039" max="1039" width="2" style="49" bestFit="1" customWidth="1"/>
    <col min="1040" max="1040" width="5.42578125" style="49" bestFit="1" customWidth="1"/>
    <col min="1041" max="1041" width="11.7109375" style="49" bestFit="1" customWidth="1"/>
    <col min="1042" max="1042" width="6.140625" style="49" bestFit="1" customWidth="1"/>
    <col min="1043" max="1043" width="39.28515625" style="49" bestFit="1" customWidth="1"/>
    <col min="1044" max="1281" width="9.140625" style="49"/>
    <col min="1282" max="1282" width="12.5703125" style="49" bestFit="1" customWidth="1"/>
    <col min="1283" max="1283" width="6.5703125" style="49" customWidth="1"/>
    <col min="1284" max="1293" width="2" style="49" bestFit="1" customWidth="1"/>
    <col min="1294" max="1294" width="3.85546875" style="49" bestFit="1" customWidth="1"/>
    <col min="1295" max="1295" width="2" style="49" bestFit="1" customWidth="1"/>
    <col min="1296" max="1296" width="5.42578125" style="49" bestFit="1" customWidth="1"/>
    <col min="1297" max="1297" width="11.7109375" style="49" bestFit="1" customWidth="1"/>
    <col min="1298" max="1298" width="6.140625" style="49" bestFit="1" customWidth="1"/>
    <col min="1299" max="1299" width="39.28515625" style="49" bestFit="1" customWidth="1"/>
    <col min="1300" max="1537" width="9.140625" style="49"/>
    <col min="1538" max="1538" width="12.5703125" style="49" bestFit="1" customWidth="1"/>
    <col min="1539" max="1539" width="6.5703125" style="49" customWidth="1"/>
    <col min="1540" max="1549" width="2" style="49" bestFit="1" customWidth="1"/>
    <col min="1550" max="1550" width="3.85546875" style="49" bestFit="1" customWidth="1"/>
    <col min="1551" max="1551" width="2" style="49" bestFit="1" customWidth="1"/>
    <col min="1552" max="1552" width="5.42578125" style="49" bestFit="1" customWidth="1"/>
    <col min="1553" max="1553" width="11.7109375" style="49" bestFit="1" customWidth="1"/>
    <col min="1554" max="1554" width="6.140625" style="49" bestFit="1" customWidth="1"/>
    <col min="1555" max="1555" width="39.28515625" style="49" bestFit="1" customWidth="1"/>
    <col min="1556" max="1793" width="9.140625" style="49"/>
    <col min="1794" max="1794" width="12.5703125" style="49" bestFit="1" customWidth="1"/>
    <col min="1795" max="1795" width="6.5703125" style="49" customWidth="1"/>
    <col min="1796" max="1805" width="2" style="49" bestFit="1" customWidth="1"/>
    <col min="1806" max="1806" width="3.85546875" style="49" bestFit="1" customWidth="1"/>
    <col min="1807" max="1807" width="2" style="49" bestFit="1" customWidth="1"/>
    <col min="1808" max="1808" width="5.42578125" style="49" bestFit="1" customWidth="1"/>
    <col min="1809" max="1809" width="11.7109375" style="49" bestFit="1" customWidth="1"/>
    <col min="1810" max="1810" width="6.140625" style="49" bestFit="1" customWidth="1"/>
    <col min="1811" max="1811" width="39.28515625" style="49" bestFit="1" customWidth="1"/>
    <col min="1812" max="2049" width="9.140625" style="49"/>
    <col min="2050" max="2050" width="12.5703125" style="49" bestFit="1" customWidth="1"/>
    <col min="2051" max="2051" width="6.5703125" style="49" customWidth="1"/>
    <col min="2052" max="2061" width="2" style="49" bestFit="1" customWidth="1"/>
    <col min="2062" max="2062" width="3.85546875" style="49" bestFit="1" customWidth="1"/>
    <col min="2063" max="2063" width="2" style="49" bestFit="1" customWidth="1"/>
    <col min="2064" max="2064" width="5.42578125" style="49" bestFit="1" customWidth="1"/>
    <col min="2065" max="2065" width="11.7109375" style="49" bestFit="1" customWidth="1"/>
    <col min="2066" max="2066" width="6.140625" style="49" bestFit="1" customWidth="1"/>
    <col min="2067" max="2067" width="39.28515625" style="49" bestFit="1" customWidth="1"/>
    <col min="2068" max="2305" width="9.140625" style="49"/>
    <col min="2306" max="2306" width="12.5703125" style="49" bestFit="1" customWidth="1"/>
    <col min="2307" max="2307" width="6.5703125" style="49" customWidth="1"/>
    <col min="2308" max="2317" width="2" style="49" bestFit="1" customWidth="1"/>
    <col min="2318" max="2318" width="3.85546875" style="49" bestFit="1" customWidth="1"/>
    <col min="2319" max="2319" width="2" style="49" bestFit="1" customWidth="1"/>
    <col min="2320" max="2320" width="5.42578125" style="49" bestFit="1" customWidth="1"/>
    <col min="2321" max="2321" width="11.7109375" style="49" bestFit="1" customWidth="1"/>
    <col min="2322" max="2322" width="6.140625" style="49" bestFit="1" customWidth="1"/>
    <col min="2323" max="2323" width="39.28515625" style="49" bestFit="1" customWidth="1"/>
    <col min="2324" max="2561" width="9.140625" style="49"/>
    <col min="2562" max="2562" width="12.5703125" style="49" bestFit="1" customWidth="1"/>
    <col min="2563" max="2563" width="6.5703125" style="49" customWidth="1"/>
    <col min="2564" max="2573" width="2" style="49" bestFit="1" customWidth="1"/>
    <col min="2574" max="2574" width="3.85546875" style="49" bestFit="1" customWidth="1"/>
    <col min="2575" max="2575" width="2" style="49" bestFit="1" customWidth="1"/>
    <col min="2576" max="2576" width="5.42578125" style="49" bestFit="1" customWidth="1"/>
    <col min="2577" max="2577" width="11.7109375" style="49" bestFit="1" customWidth="1"/>
    <col min="2578" max="2578" width="6.140625" style="49" bestFit="1" customWidth="1"/>
    <col min="2579" max="2579" width="39.28515625" style="49" bestFit="1" customWidth="1"/>
    <col min="2580" max="2817" width="9.140625" style="49"/>
    <col min="2818" max="2818" width="12.5703125" style="49" bestFit="1" customWidth="1"/>
    <col min="2819" max="2819" width="6.5703125" style="49" customWidth="1"/>
    <col min="2820" max="2829" width="2" style="49" bestFit="1" customWidth="1"/>
    <col min="2830" max="2830" width="3.85546875" style="49" bestFit="1" customWidth="1"/>
    <col min="2831" max="2831" width="2" style="49" bestFit="1" customWidth="1"/>
    <col min="2832" max="2832" width="5.42578125" style="49" bestFit="1" customWidth="1"/>
    <col min="2833" max="2833" width="11.7109375" style="49" bestFit="1" customWidth="1"/>
    <col min="2834" max="2834" width="6.140625" style="49" bestFit="1" customWidth="1"/>
    <col min="2835" max="2835" width="39.28515625" style="49" bestFit="1" customWidth="1"/>
    <col min="2836" max="3073" width="9.140625" style="49"/>
    <col min="3074" max="3074" width="12.5703125" style="49" bestFit="1" customWidth="1"/>
    <col min="3075" max="3075" width="6.5703125" style="49" customWidth="1"/>
    <col min="3076" max="3085" width="2" style="49" bestFit="1" customWidth="1"/>
    <col min="3086" max="3086" width="3.85546875" style="49" bestFit="1" customWidth="1"/>
    <col min="3087" max="3087" width="2" style="49" bestFit="1" customWidth="1"/>
    <col min="3088" max="3088" width="5.42578125" style="49" bestFit="1" customWidth="1"/>
    <col min="3089" max="3089" width="11.7109375" style="49" bestFit="1" customWidth="1"/>
    <col min="3090" max="3090" width="6.140625" style="49" bestFit="1" customWidth="1"/>
    <col min="3091" max="3091" width="39.28515625" style="49" bestFit="1" customWidth="1"/>
    <col min="3092" max="3329" width="9.140625" style="49"/>
    <col min="3330" max="3330" width="12.5703125" style="49" bestFit="1" customWidth="1"/>
    <col min="3331" max="3331" width="6.5703125" style="49" customWidth="1"/>
    <col min="3332" max="3341" width="2" style="49" bestFit="1" customWidth="1"/>
    <col min="3342" max="3342" width="3.85546875" style="49" bestFit="1" customWidth="1"/>
    <col min="3343" max="3343" width="2" style="49" bestFit="1" customWidth="1"/>
    <col min="3344" max="3344" width="5.42578125" style="49" bestFit="1" customWidth="1"/>
    <col min="3345" max="3345" width="11.7109375" style="49" bestFit="1" customWidth="1"/>
    <col min="3346" max="3346" width="6.140625" style="49" bestFit="1" customWidth="1"/>
    <col min="3347" max="3347" width="39.28515625" style="49" bestFit="1" customWidth="1"/>
    <col min="3348" max="3585" width="9.140625" style="49"/>
    <col min="3586" max="3586" width="12.5703125" style="49" bestFit="1" customWidth="1"/>
    <col min="3587" max="3587" width="6.5703125" style="49" customWidth="1"/>
    <col min="3588" max="3597" width="2" style="49" bestFit="1" customWidth="1"/>
    <col min="3598" max="3598" width="3.85546875" style="49" bestFit="1" customWidth="1"/>
    <col min="3599" max="3599" width="2" style="49" bestFit="1" customWidth="1"/>
    <col min="3600" max="3600" width="5.42578125" style="49" bestFit="1" customWidth="1"/>
    <col min="3601" max="3601" width="11.7109375" style="49" bestFit="1" customWidth="1"/>
    <col min="3602" max="3602" width="6.140625" style="49" bestFit="1" customWidth="1"/>
    <col min="3603" max="3603" width="39.28515625" style="49" bestFit="1" customWidth="1"/>
    <col min="3604" max="3841" width="9.140625" style="49"/>
    <col min="3842" max="3842" width="12.5703125" style="49" bestFit="1" customWidth="1"/>
    <col min="3843" max="3843" width="6.5703125" style="49" customWidth="1"/>
    <col min="3844" max="3853" width="2" style="49" bestFit="1" customWidth="1"/>
    <col min="3854" max="3854" width="3.85546875" style="49" bestFit="1" customWidth="1"/>
    <col min="3855" max="3855" width="2" style="49" bestFit="1" customWidth="1"/>
    <col min="3856" max="3856" width="5.42578125" style="49" bestFit="1" customWidth="1"/>
    <col min="3857" max="3857" width="11.7109375" style="49" bestFit="1" customWidth="1"/>
    <col min="3858" max="3858" width="6.140625" style="49" bestFit="1" customWidth="1"/>
    <col min="3859" max="3859" width="39.28515625" style="49" bestFit="1" customWidth="1"/>
    <col min="3860" max="4097" width="9.140625" style="49"/>
    <col min="4098" max="4098" width="12.5703125" style="49" bestFit="1" customWidth="1"/>
    <col min="4099" max="4099" width="6.5703125" style="49" customWidth="1"/>
    <col min="4100" max="4109" width="2" style="49" bestFit="1" customWidth="1"/>
    <col min="4110" max="4110" width="3.85546875" style="49" bestFit="1" customWidth="1"/>
    <col min="4111" max="4111" width="2" style="49" bestFit="1" customWidth="1"/>
    <col min="4112" max="4112" width="5.42578125" style="49" bestFit="1" customWidth="1"/>
    <col min="4113" max="4113" width="11.7109375" style="49" bestFit="1" customWidth="1"/>
    <col min="4114" max="4114" width="6.140625" style="49" bestFit="1" customWidth="1"/>
    <col min="4115" max="4115" width="39.28515625" style="49" bestFit="1" customWidth="1"/>
    <col min="4116" max="4353" width="9.140625" style="49"/>
    <col min="4354" max="4354" width="12.5703125" style="49" bestFit="1" customWidth="1"/>
    <col min="4355" max="4355" width="6.5703125" style="49" customWidth="1"/>
    <col min="4356" max="4365" width="2" style="49" bestFit="1" customWidth="1"/>
    <col min="4366" max="4366" width="3.85546875" style="49" bestFit="1" customWidth="1"/>
    <col min="4367" max="4367" width="2" style="49" bestFit="1" customWidth="1"/>
    <col min="4368" max="4368" width="5.42578125" style="49" bestFit="1" customWidth="1"/>
    <col min="4369" max="4369" width="11.7109375" style="49" bestFit="1" customWidth="1"/>
    <col min="4370" max="4370" width="6.140625" style="49" bestFit="1" customWidth="1"/>
    <col min="4371" max="4371" width="39.28515625" style="49" bestFit="1" customWidth="1"/>
    <col min="4372" max="4609" width="9.140625" style="49"/>
    <col min="4610" max="4610" width="12.5703125" style="49" bestFit="1" customWidth="1"/>
    <col min="4611" max="4611" width="6.5703125" style="49" customWidth="1"/>
    <col min="4612" max="4621" width="2" style="49" bestFit="1" customWidth="1"/>
    <col min="4622" max="4622" width="3.85546875" style="49" bestFit="1" customWidth="1"/>
    <col min="4623" max="4623" width="2" style="49" bestFit="1" customWidth="1"/>
    <col min="4624" max="4624" width="5.42578125" style="49" bestFit="1" customWidth="1"/>
    <col min="4625" max="4625" width="11.7109375" style="49" bestFit="1" customWidth="1"/>
    <col min="4626" max="4626" width="6.140625" style="49" bestFit="1" customWidth="1"/>
    <col min="4627" max="4627" width="39.28515625" style="49" bestFit="1" customWidth="1"/>
    <col min="4628" max="4865" width="9.140625" style="49"/>
    <col min="4866" max="4866" width="12.5703125" style="49" bestFit="1" customWidth="1"/>
    <col min="4867" max="4867" width="6.5703125" style="49" customWidth="1"/>
    <col min="4868" max="4877" width="2" style="49" bestFit="1" customWidth="1"/>
    <col min="4878" max="4878" width="3.85546875" style="49" bestFit="1" customWidth="1"/>
    <col min="4879" max="4879" width="2" style="49" bestFit="1" customWidth="1"/>
    <col min="4880" max="4880" width="5.42578125" style="49" bestFit="1" customWidth="1"/>
    <col min="4881" max="4881" width="11.7109375" style="49" bestFit="1" customWidth="1"/>
    <col min="4882" max="4882" width="6.140625" style="49" bestFit="1" customWidth="1"/>
    <col min="4883" max="4883" width="39.28515625" style="49" bestFit="1" customWidth="1"/>
    <col min="4884" max="5121" width="9.140625" style="49"/>
    <col min="5122" max="5122" width="12.5703125" style="49" bestFit="1" customWidth="1"/>
    <col min="5123" max="5123" width="6.5703125" style="49" customWidth="1"/>
    <col min="5124" max="5133" width="2" style="49" bestFit="1" customWidth="1"/>
    <col min="5134" max="5134" width="3.85546875" style="49" bestFit="1" customWidth="1"/>
    <col min="5135" max="5135" width="2" style="49" bestFit="1" customWidth="1"/>
    <col min="5136" max="5136" width="5.42578125" style="49" bestFit="1" customWidth="1"/>
    <col min="5137" max="5137" width="11.7109375" style="49" bestFit="1" customWidth="1"/>
    <col min="5138" max="5138" width="6.140625" style="49" bestFit="1" customWidth="1"/>
    <col min="5139" max="5139" width="39.28515625" style="49" bestFit="1" customWidth="1"/>
    <col min="5140" max="5377" width="9.140625" style="49"/>
    <col min="5378" max="5378" width="12.5703125" style="49" bestFit="1" customWidth="1"/>
    <col min="5379" max="5379" width="6.5703125" style="49" customWidth="1"/>
    <col min="5380" max="5389" width="2" style="49" bestFit="1" customWidth="1"/>
    <col min="5390" max="5390" width="3.85546875" style="49" bestFit="1" customWidth="1"/>
    <col min="5391" max="5391" width="2" style="49" bestFit="1" customWidth="1"/>
    <col min="5392" max="5392" width="5.42578125" style="49" bestFit="1" customWidth="1"/>
    <col min="5393" max="5393" width="11.7109375" style="49" bestFit="1" customWidth="1"/>
    <col min="5394" max="5394" width="6.140625" style="49" bestFit="1" customWidth="1"/>
    <col min="5395" max="5395" width="39.28515625" style="49" bestFit="1" customWidth="1"/>
    <col min="5396" max="5633" width="9.140625" style="49"/>
    <col min="5634" max="5634" width="12.5703125" style="49" bestFit="1" customWidth="1"/>
    <col min="5635" max="5635" width="6.5703125" style="49" customWidth="1"/>
    <col min="5636" max="5645" width="2" style="49" bestFit="1" customWidth="1"/>
    <col min="5646" max="5646" width="3.85546875" style="49" bestFit="1" customWidth="1"/>
    <col min="5647" max="5647" width="2" style="49" bestFit="1" customWidth="1"/>
    <col min="5648" max="5648" width="5.42578125" style="49" bestFit="1" customWidth="1"/>
    <col min="5649" max="5649" width="11.7109375" style="49" bestFit="1" customWidth="1"/>
    <col min="5650" max="5650" width="6.140625" style="49" bestFit="1" customWidth="1"/>
    <col min="5651" max="5651" width="39.28515625" style="49" bestFit="1" customWidth="1"/>
    <col min="5652" max="5889" width="9.140625" style="49"/>
    <col min="5890" max="5890" width="12.5703125" style="49" bestFit="1" customWidth="1"/>
    <col min="5891" max="5891" width="6.5703125" style="49" customWidth="1"/>
    <col min="5892" max="5901" width="2" style="49" bestFit="1" customWidth="1"/>
    <col min="5902" max="5902" width="3.85546875" style="49" bestFit="1" customWidth="1"/>
    <col min="5903" max="5903" width="2" style="49" bestFit="1" customWidth="1"/>
    <col min="5904" max="5904" width="5.42578125" style="49" bestFit="1" customWidth="1"/>
    <col min="5905" max="5905" width="11.7109375" style="49" bestFit="1" customWidth="1"/>
    <col min="5906" max="5906" width="6.140625" style="49" bestFit="1" customWidth="1"/>
    <col min="5907" max="5907" width="39.28515625" style="49" bestFit="1" customWidth="1"/>
    <col min="5908" max="6145" width="9.140625" style="49"/>
    <col min="6146" max="6146" width="12.5703125" style="49" bestFit="1" customWidth="1"/>
    <col min="6147" max="6147" width="6.5703125" style="49" customWidth="1"/>
    <col min="6148" max="6157" width="2" style="49" bestFit="1" customWidth="1"/>
    <col min="6158" max="6158" width="3.85546875" style="49" bestFit="1" customWidth="1"/>
    <col min="6159" max="6159" width="2" style="49" bestFit="1" customWidth="1"/>
    <col min="6160" max="6160" width="5.42578125" style="49" bestFit="1" customWidth="1"/>
    <col min="6161" max="6161" width="11.7109375" style="49" bestFit="1" customWidth="1"/>
    <col min="6162" max="6162" width="6.140625" style="49" bestFit="1" customWidth="1"/>
    <col min="6163" max="6163" width="39.28515625" style="49" bestFit="1" customWidth="1"/>
    <col min="6164" max="6401" width="9.140625" style="49"/>
    <col min="6402" max="6402" width="12.5703125" style="49" bestFit="1" customWidth="1"/>
    <col min="6403" max="6403" width="6.5703125" style="49" customWidth="1"/>
    <col min="6404" max="6413" width="2" style="49" bestFit="1" customWidth="1"/>
    <col min="6414" max="6414" width="3.85546875" style="49" bestFit="1" customWidth="1"/>
    <col min="6415" max="6415" width="2" style="49" bestFit="1" customWidth="1"/>
    <col min="6416" max="6416" width="5.42578125" style="49" bestFit="1" customWidth="1"/>
    <col min="6417" max="6417" width="11.7109375" style="49" bestFit="1" customWidth="1"/>
    <col min="6418" max="6418" width="6.140625" style="49" bestFit="1" customWidth="1"/>
    <col min="6419" max="6419" width="39.28515625" style="49" bestFit="1" customWidth="1"/>
    <col min="6420" max="6657" width="9.140625" style="49"/>
    <col min="6658" max="6658" width="12.5703125" style="49" bestFit="1" customWidth="1"/>
    <col min="6659" max="6659" width="6.5703125" style="49" customWidth="1"/>
    <col min="6660" max="6669" width="2" style="49" bestFit="1" customWidth="1"/>
    <col min="6670" max="6670" width="3.85546875" style="49" bestFit="1" customWidth="1"/>
    <col min="6671" max="6671" width="2" style="49" bestFit="1" customWidth="1"/>
    <col min="6672" max="6672" width="5.42578125" style="49" bestFit="1" customWidth="1"/>
    <col min="6673" max="6673" width="11.7109375" style="49" bestFit="1" customWidth="1"/>
    <col min="6674" max="6674" width="6.140625" style="49" bestFit="1" customWidth="1"/>
    <col min="6675" max="6675" width="39.28515625" style="49" bestFit="1" customWidth="1"/>
    <col min="6676" max="6913" width="9.140625" style="49"/>
    <col min="6914" max="6914" width="12.5703125" style="49" bestFit="1" customWidth="1"/>
    <col min="6915" max="6915" width="6.5703125" style="49" customWidth="1"/>
    <col min="6916" max="6925" width="2" style="49" bestFit="1" customWidth="1"/>
    <col min="6926" max="6926" width="3.85546875" style="49" bestFit="1" customWidth="1"/>
    <col min="6927" max="6927" width="2" style="49" bestFit="1" customWidth="1"/>
    <col min="6928" max="6928" width="5.42578125" style="49" bestFit="1" customWidth="1"/>
    <col min="6929" max="6929" width="11.7109375" style="49" bestFit="1" customWidth="1"/>
    <col min="6930" max="6930" width="6.140625" style="49" bestFit="1" customWidth="1"/>
    <col min="6931" max="6931" width="39.28515625" style="49" bestFit="1" customWidth="1"/>
    <col min="6932" max="7169" width="9.140625" style="49"/>
    <col min="7170" max="7170" width="12.5703125" style="49" bestFit="1" customWidth="1"/>
    <col min="7171" max="7171" width="6.5703125" style="49" customWidth="1"/>
    <col min="7172" max="7181" width="2" style="49" bestFit="1" customWidth="1"/>
    <col min="7182" max="7182" width="3.85546875" style="49" bestFit="1" customWidth="1"/>
    <col min="7183" max="7183" width="2" style="49" bestFit="1" customWidth="1"/>
    <col min="7184" max="7184" width="5.42578125" style="49" bestFit="1" customWidth="1"/>
    <col min="7185" max="7185" width="11.7109375" style="49" bestFit="1" customWidth="1"/>
    <col min="7186" max="7186" width="6.140625" style="49" bestFit="1" customWidth="1"/>
    <col min="7187" max="7187" width="39.28515625" style="49" bestFit="1" customWidth="1"/>
    <col min="7188" max="7425" width="9.140625" style="49"/>
    <col min="7426" max="7426" width="12.5703125" style="49" bestFit="1" customWidth="1"/>
    <col min="7427" max="7427" width="6.5703125" style="49" customWidth="1"/>
    <col min="7428" max="7437" width="2" style="49" bestFit="1" customWidth="1"/>
    <col min="7438" max="7438" width="3.85546875" style="49" bestFit="1" customWidth="1"/>
    <col min="7439" max="7439" width="2" style="49" bestFit="1" customWidth="1"/>
    <col min="7440" max="7440" width="5.42578125" style="49" bestFit="1" customWidth="1"/>
    <col min="7441" max="7441" width="11.7109375" style="49" bestFit="1" customWidth="1"/>
    <col min="7442" max="7442" width="6.140625" style="49" bestFit="1" customWidth="1"/>
    <col min="7443" max="7443" width="39.28515625" style="49" bestFit="1" customWidth="1"/>
    <col min="7444" max="7681" width="9.140625" style="49"/>
    <col min="7682" max="7682" width="12.5703125" style="49" bestFit="1" customWidth="1"/>
    <col min="7683" max="7683" width="6.5703125" style="49" customWidth="1"/>
    <col min="7684" max="7693" width="2" style="49" bestFit="1" customWidth="1"/>
    <col min="7694" max="7694" width="3.85546875" style="49" bestFit="1" customWidth="1"/>
    <col min="7695" max="7695" width="2" style="49" bestFit="1" customWidth="1"/>
    <col min="7696" max="7696" width="5.42578125" style="49" bestFit="1" customWidth="1"/>
    <col min="7697" max="7697" width="11.7109375" style="49" bestFit="1" customWidth="1"/>
    <col min="7698" max="7698" width="6.140625" style="49" bestFit="1" customWidth="1"/>
    <col min="7699" max="7699" width="39.28515625" style="49" bestFit="1" customWidth="1"/>
    <col min="7700" max="7937" width="9.140625" style="49"/>
    <col min="7938" max="7938" width="12.5703125" style="49" bestFit="1" customWidth="1"/>
    <col min="7939" max="7939" width="6.5703125" style="49" customWidth="1"/>
    <col min="7940" max="7949" width="2" style="49" bestFit="1" customWidth="1"/>
    <col min="7950" max="7950" width="3.85546875" style="49" bestFit="1" customWidth="1"/>
    <col min="7951" max="7951" width="2" style="49" bestFit="1" customWidth="1"/>
    <col min="7952" max="7952" width="5.42578125" style="49" bestFit="1" customWidth="1"/>
    <col min="7953" max="7953" width="11.7109375" style="49" bestFit="1" customWidth="1"/>
    <col min="7954" max="7954" width="6.140625" style="49" bestFit="1" customWidth="1"/>
    <col min="7955" max="7955" width="39.28515625" style="49" bestFit="1" customWidth="1"/>
    <col min="7956" max="8193" width="9.140625" style="49"/>
    <col min="8194" max="8194" width="12.5703125" style="49" bestFit="1" customWidth="1"/>
    <col min="8195" max="8195" width="6.5703125" style="49" customWidth="1"/>
    <col min="8196" max="8205" width="2" style="49" bestFit="1" customWidth="1"/>
    <col min="8206" max="8206" width="3.85546875" style="49" bestFit="1" customWidth="1"/>
    <col min="8207" max="8207" width="2" style="49" bestFit="1" customWidth="1"/>
    <col min="8208" max="8208" width="5.42578125" style="49" bestFit="1" customWidth="1"/>
    <col min="8209" max="8209" width="11.7109375" style="49" bestFit="1" customWidth="1"/>
    <col min="8210" max="8210" width="6.140625" style="49" bestFit="1" customWidth="1"/>
    <col min="8211" max="8211" width="39.28515625" style="49" bestFit="1" customWidth="1"/>
    <col min="8212" max="8449" width="9.140625" style="49"/>
    <col min="8450" max="8450" width="12.5703125" style="49" bestFit="1" customWidth="1"/>
    <col min="8451" max="8451" width="6.5703125" style="49" customWidth="1"/>
    <col min="8452" max="8461" width="2" style="49" bestFit="1" customWidth="1"/>
    <col min="8462" max="8462" width="3.85546875" style="49" bestFit="1" customWidth="1"/>
    <col min="8463" max="8463" width="2" style="49" bestFit="1" customWidth="1"/>
    <col min="8464" max="8464" width="5.42578125" style="49" bestFit="1" customWidth="1"/>
    <col min="8465" max="8465" width="11.7109375" style="49" bestFit="1" customWidth="1"/>
    <col min="8466" max="8466" width="6.140625" style="49" bestFit="1" customWidth="1"/>
    <col min="8467" max="8467" width="39.28515625" style="49" bestFit="1" customWidth="1"/>
    <col min="8468" max="8705" width="9.140625" style="49"/>
    <col min="8706" max="8706" width="12.5703125" style="49" bestFit="1" customWidth="1"/>
    <col min="8707" max="8707" width="6.5703125" style="49" customWidth="1"/>
    <col min="8708" max="8717" width="2" style="49" bestFit="1" customWidth="1"/>
    <col min="8718" max="8718" width="3.85546875" style="49" bestFit="1" customWidth="1"/>
    <col min="8719" max="8719" width="2" style="49" bestFit="1" customWidth="1"/>
    <col min="8720" max="8720" width="5.42578125" style="49" bestFit="1" customWidth="1"/>
    <col min="8721" max="8721" width="11.7109375" style="49" bestFit="1" customWidth="1"/>
    <col min="8722" max="8722" width="6.140625" style="49" bestFit="1" customWidth="1"/>
    <col min="8723" max="8723" width="39.28515625" style="49" bestFit="1" customWidth="1"/>
    <col min="8724" max="8961" width="9.140625" style="49"/>
    <col min="8962" max="8962" width="12.5703125" style="49" bestFit="1" customWidth="1"/>
    <col min="8963" max="8963" width="6.5703125" style="49" customWidth="1"/>
    <col min="8964" max="8973" width="2" style="49" bestFit="1" customWidth="1"/>
    <col min="8974" max="8974" width="3.85546875" style="49" bestFit="1" customWidth="1"/>
    <col min="8975" max="8975" width="2" style="49" bestFit="1" customWidth="1"/>
    <col min="8976" max="8976" width="5.42578125" style="49" bestFit="1" customWidth="1"/>
    <col min="8977" max="8977" width="11.7109375" style="49" bestFit="1" customWidth="1"/>
    <col min="8978" max="8978" width="6.140625" style="49" bestFit="1" customWidth="1"/>
    <col min="8979" max="8979" width="39.28515625" style="49" bestFit="1" customWidth="1"/>
    <col min="8980" max="9217" width="9.140625" style="49"/>
    <col min="9218" max="9218" width="12.5703125" style="49" bestFit="1" customWidth="1"/>
    <col min="9219" max="9219" width="6.5703125" style="49" customWidth="1"/>
    <col min="9220" max="9229" width="2" style="49" bestFit="1" customWidth="1"/>
    <col min="9230" max="9230" width="3.85546875" style="49" bestFit="1" customWidth="1"/>
    <col min="9231" max="9231" width="2" style="49" bestFit="1" customWidth="1"/>
    <col min="9232" max="9232" width="5.42578125" style="49" bestFit="1" customWidth="1"/>
    <col min="9233" max="9233" width="11.7109375" style="49" bestFit="1" customWidth="1"/>
    <col min="9234" max="9234" width="6.140625" style="49" bestFit="1" customWidth="1"/>
    <col min="9235" max="9235" width="39.28515625" style="49" bestFit="1" customWidth="1"/>
    <col min="9236" max="9473" width="9.140625" style="49"/>
    <col min="9474" max="9474" width="12.5703125" style="49" bestFit="1" customWidth="1"/>
    <col min="9475" max="9475" width="6.5703125" style="49" customWidth="1"/>
    <col min="9476" max="9485" width="2" style="49" bestFit="1" customWidth="1"/>
    <col min="9486" max="9486" width="3.85546875" style="49" bestFit="1" customWidth="1"/>
    <col min="9487" max="9487" width="2" style="49" bestFit="1" customWidth="1"/>
    <col min="9488" max="9488" width="5.42578125" style="49" bestFit="1" customWidth="1"/>
    <col min="9489" max="9489" width="11.7109375" style="49" bestFit="1" customWidth="1"/>
    <col min="9490" max="9490" width="6.140625" style="49" bestFit="1" customWidth="1"/>
    <col min="9491" max="9491" width="39.28515625" style="49" bestFit="1" customWidth="1"/>
    <col min="9492" max="9729" width="9.140625" style="49"/>
    <col min="9730" max="9730" width="12.5703125" style="49" bestFit="1" customWidth="1"/>
    <col min="9731" max="9731" width="6.5703125" style="49" customWidth="1"/>
    <col min="9732" max="9741" width="2" style="49" bestFit="1" customWidth="1"/>
    <col min="9742" max="9742" width="3.85546875" style="49" bestFit="1" customWidth="1"/>
    <col min="9743" max="9743" width="2" style="49" bestFit="1" customWidth="1"/>
    <col min="9744" max="9744" width="5.42578125" style="49" bestFit="1" customWidth="1"/>
    <col min="9745" max="9745" width="11.7109375" style="49" bestFit="1" customWidth="1"/>
    <col min="9746" max="9746" width="6.140625" style="49" bestFit="1" customWidth="1"/>
    <col min="9747" max="9747" width="39.28515625" style="49" bestFit="1" customWidth="1"/>
    <col min="9748" max="9985" width="9.140625" style="49"/>
    <col min="9986" max="9986" width="12.5703125" style="49" bestFit="1" customWidth="1"/>
    <col min="9987" max="9987" width="6.5703125" style="49" customWidth="1"/>
    <col min="9988" max="9997" width="2" style="49" bestFit="1" customWidth="1"/>
    <col min="9998" max="9998" width="3.85546875" style="49" bestFit="1" customWidth="1"/>
    <col min="9999" max="9999" width="2" style="49" bestFit="1" customWidth="1"/>
    <col min="10000" max="10000" width="5.42578125" style="49" bestFit="1" customWidth="1"/>
    <col min="10001" max="10001" width="11.7109375" style="49" bestFit="1" customWidth="1"/>
    <col min="10002" max="10002" width="6.140625" style="49" bestFit="1" customWidth="1"/>
    <col min="10003" max="10003" width="39.28515625" style="49" bestFit="1" customWidth="1"/>
    <col min="10004" max="10241" width="9.140625" style="49"/>
    <col min="10242" max="10242" width="12.5703125" style="49" bestFit="1" customWidth="1"/>
    <col min="10243" max="10243" width="6.5703125" style="49" customWidth="1"/>
    <col min="10244" max="10253" width="2" style="49" bestFit="1" customWidth="1"/>
    <col min="10254" max="10254" width="3.85546875" style="49" bestFit="1" customWidth="1"/>
    <col min="10255" max="10255" width="2" style="49" bestFit="1" customWidth="1"/>
    <col min="10256" max="10256" width="5.42578125" style="49" bestFit="1" customWidth="1"/>
    <col min="10257" max="10257" width="11.7109375" style="49" bestFit="1" customWidth="1"/>
    <col min="10258" max="10258" width="6.140625" style="49" bestFit="1" customWidth="1"/>
    <col min="10259" max="10259" width="39.28515625" style="49" bestFit="1" customWidth="1"/>
    <col min="10260" max="10497" width="9.140625" style="49"/>
    <col min="10498" max="10498" width="12.5703125" style="49" bestFit="1" customWidth="1"/>
    <col min="10499" max="10499" width="6.5703125" style="49" customWidth="1"/>
    <col min="10500" max="10509" width="2" style="49" bestFit="1" customWidth="1"/>
    <col min="10510" max="10510" width="3.85546875" style="49" bestFit="1" customWidth="1"/>
    <col min="10511" max="10511" width="2" style="49" bestFit="1" customWidth="1"/>
    <col min="10512" max="10512" width="5.42578125" style="49" bestFit="1" customWidth="1"/>
    <col min="10513" max="10513" width="11.7109375" style="49" bestFit="1" customWidth="1"/>
    <col min="10514" max="10514" width="6.140625" style="49" bestFit="1" customWidth="1"/>
    <col min="10515" max="10515" width="39.28515625" style="49" bestFit="1" customWidth="1"/>
    <col min="10516" max="10753" width="9.140625" style="49"/>
    <col min="10754" max="10754" width="12.5703125" style="49" bestFit="1" customWidth="1"/>
    <col min="10755" max="10755" width="6.5703125" style="49" customWidth="1"/>
    <col min="10756" max="10765" width="2" style="49" bestFit="1" customWidth="1"/>
    <col min="10766" max="10766" width="3.85546875" style="49" bestFit="1" customWidth="1"/>
    <col min="10767" max="10767" width="2" style="49" bestFit="1" customWidth="1"/>
    <col min="10768" max="10768" width="5.42578125" style="49" bestFit="1" customWidth="1"/>
    <col min="10769" max="10769" width="11.7109375" style="49" bestFit="1" customWidth="1"/>
    <col min="10770" max="10770" width="6.140625" style="49" bestFit="1" customWidth="1"/>
    <col min="10771" max="10771" width="39.28515625" style="49" bestFit="1" customWidth="1"/>
    <col min="10772" max="11009" width="9.140625" style="49"/>
    <col min="11010" max="11010" width="12.5703125" style="49" bestFit="1" customWidth="1"/>
    <col min="11011" max="11011" width="6.5703125" style="49" customWidth="1"/>
    <col min="11012" max="11021" width="2" style="49" bestFit="1" customWidth="1"/>
    <col min="11022" max="11022" width="3.85546875" style="49" bestFit="1" customWidth="1"/>
    <col min="11023" max="11023" width="2" style="49" bestFit="1" customWidth="1"/>
    <col min="11024" max="11024" width="5.42578125" style="49" bestFit="1" customWidth="1"/>
    <col min="11025" max="11025" width="11.7109375" style="49" bestFit="1" customWidth="1"/>
    <col min="11026" max="11026" width="6.140625" style="49" bestFit="1" customWidth="1"/>
    <col min="11027" max="11027" width="39.28515625" style="49" bestFit="1" customWidth="1"/>
    <col min="11028" max="11265" width="9.140625" style="49"/>
    <col min="11266" max="11266" width="12.5703125" style="49" bestFit="1" customWidth="1"/>
    <col min="11267" max="11267" width="6.5703125" style="49" customWidth="1"/>
    <col min="11268" max="11277" width="2" style="49" bestFit="1" customWidth="1"/>
    <col min="11278" max="11278" width="3.85546875" style="49" bestFit="1" customWidth="1"/>
    <col min="11279" max="11279" width="2" style="49" bestFit="1" customWidth="1"/>
    <col min="11280" max="11280" width="5.42578125" style="49" bestFit="1" customWidth="1"/>
    <col min="11281" max="11281" width="11.7109375" style="49" bestFit="1" customWidth="1"/>
    <col min="11282" max="11282" width="6.140625" style="49" bestFit="1" customWidth="1"/>
    <col min="11283" max="11283" width="39.28515625" style="49" bestFit="1" customWidth="1"/>
    <col min="11284" max="11521" width="9.140625" style="49"/>
    <col min="11522" max="11522" width="12.5703125" style="49" bestFit="1" customWidth="1"/>
    <col min="11523" max="11523" width="6.5703125" style="49" customWidth="1"/>
    <col min="11524" max="11533" width="2" style="49" bestFit="1" customWidth="1"/>
    <col min="11534" max="11534" width="3.85546875" style="49" bestFit="1" customWidth="1"/>
    <col min="11535" max="11535" width="2" style="49" bestFit="1" customWidth="1"/>
    <col min="11536" max="11536" width="5.42578125" style="49" bestFit="1" customWidth="1"/>
    <col min="11537" max="11537" width="11.7109375" style="49" bestFit="1" customWidth="1"/>
    <col min="11538" max="11538" width="6.140625" style="49" bestFit="1" customWidth="1"/>
    <col min="11539" max="11539" width="39.28515625" style="49" bestFit="1" customWidth="1"/>
    <col min="11540" max="11777" width="9.140625" style="49"/>
    <col min="11778" max="11778" width="12.5703125" style="49" bestFit="1" customWidth="1"/>
    <col min="11779" max="11779" width="6.5703125" style="49" customWidth="1"/>
    <col min="11780" max="11789" width="2" style="49" bestFit="1" customWidth="1"/>
    <col min="11790" max="11790" width="3.85546875" style="49" bestFit="1" customWidth="1"/>
    <col min="11791" max="11791" width="2" style="49" bestFit="1" customWidth="1"/>
    <col min="11792" max="11792" width="5.42578125" style="49" bestFit="1" customWidth="1"/>
    <col min="11793" max="11793" width="11.7109375" style="49" bestFit="1" customWidth="1"/>
    <col min="11794" max="11794" width="6.140625" style="49" bestFit="1" customWidth="1"/>
    <col min="11795" max="11795" width="39.28515625" style="49" bestFit="1" customWidth="1"/>
    <col min="11796" max="12033" width="9.140625" style="49"/>
    <col min="12034" max="12034" width="12.5703125" style="49" bestFit="1" customWidth="1"/>
    <col min="12035" max="12035" width="6.5703125" style="49" customWidth="1"/>
    <col min="12036" max="12045" width="2" style="49" bestFit="1" customWidth="1"/>
    <col min="12046" max="12046" width="3.85546875" style="49" bestFit="1" customWidth="1"/>
    <col min="12047" max="12047" width="2" style="49" bestFit="1" customWidth="1"/>
    <col min="12048" max="12048" width="5.42578125" style="49" bestFit="1" customWidth="1"/>
    <col min="12049" max="12049" width="11.7109375" style="49" bestFit="1" customWidth="1"/>
    <col min="12050" max="12050" width="6.140625" style="49" bestFit="1" customWidth="1"/>
    <col min="12051" max="12051" width="39.28515625" style="49" bestFit="1" customWidth="1"/>
    <col min="12052" max="12289" width="9.140625" style="49"/>
    <col min="12290" max="12290" width="12.5703125" style="49" bestFit="1" customWidth="1"/>
    <col min="12291" max="12291" width="6.5703125" style="49" customWidth="1"/>
    <col min="12292" max="12301" width="2" style="49" bestFit="1" customWidth="1"/>
    <col min="12302" max="12302" width="3.85546875" style="49" bestFit="1" customWidth="1"/>
    <col min="12303" max="12303" width="2" style="49" bestFit="1" customWidth="1"/>
    <col min="12304" max="12304" width="5.42578125" style="49" bestFit="1" customWidth="1"/>
    <col min="12305" max="12305" width="11.7109375" style="49" bestFit="1" customWidth="1"/>
    <col min="12306" max="12306" width="6.140625" style="49" bestFit="1" customWidth="1"/>
    <col min="12307" max="12307" width="39.28515625" style="49" bestFit="1" customWidth="1"/>
    <col min="12308" max="12545" width="9.140625" style="49"/>
    <col min="12546" max="12546" width="12.5703125" style="49" bestFit="1" customWidth="1"/>
    <col min="12547" max="12547" width="6.5703125" style="49" customWidth="1"/>
    <col min="12548" max="12557" width="2" style="49" bestFit="1" customWidth="1"/>
    <col min="12558" max="12558" width="3.85546875" style="49" bestFit="1" customWidth="1"/>
    <col min="12559" max="12559" width="2" style="49" bestFit="1" customWidth="1"/>
    <col min="12560" max="12560" width="5.42578125" style="49" bestFit="1" customWidth="1"/>
    <col min="12561" max="12561" width="11.7109375" style="49" bestFit="1" customWidth="1"/>
    <col min="12562" max="12562" width="6.140625" style="49" bestFit="1" customWidth="1"/>
    <col min="12563" max="12563" width="39.28515625" style="49" bestFit="1" customWidth="1"/>
    <col min="12564" max="12801" width="9.140625" style="49"/>
    <col min="12802" max="12802" width="12.5703125" style="49" bestFit="1" customWidth="1"/>
    <col min="12803" max="12803" width="6.5703125" style="49" customWidth="1"/>
    <col min="12804" max="12813" width="2" style="49" bestFit="1" customWidth="1"/>
    <col min="12814" max="12814" width="3.85546875" style="49" bestFit="1" customWidth="1"/>
    <col min="12815" max="12815" width="2" style="49" bestFit="1" customWidth="1"/>
    <col min="12816" max="12816" width="5.42578125" style="49" bestFit="1" customWidth="1"/>
    <col min="12817" max="12817" width="11.7109375" style="49" bestFit="1" customWidth="1"/>
    <col min="12818" max="12818" width="6.140625" style="49" bestFit="1" customWidth="1"/>
    <col min="12819" max="12819" width="39.28515625" style="49" bestFit="1" customWidth="1"/>
    <col min="12820" max="13057" width="9.140625" style="49"/>
    <col min="13058" max="13058" width="12.5703125" style="49" bestFit="1" customWidth="1"/>
    <col min="13059" max="13059" width="6.5703125" style="49" customWidth="1"/>
    <col min="13060" max="13069" width="2" style="49" bestFit="1" customWidth="1"/>
    <col min="13070" max="13070" width="3.85546875" style="49" bestFit="1" customWidth="1"/>
    <col min="13071" max="13071" width="2" style="49" bestFit="1" customWidth="1"/>
    <col min="13072" max="13072" width="5.42578125" style="49" bestFit="1" customWidth="1"/>
    <col min="13073" max="13073" width="11.7109375" style="49" bestFit="1" customWidth="1"/>
    <col min="13074" max="13074" width="6.140625" style="49" bestFit="1" customWidth="1"/>
    <col min="13075" max="13075" width="39.28515625" style="49" bestFit="1" customWidth="1"/>
    <col min="13076" max="13313" width="9.140625" style="49"/>
    <col min="13314" max="13314" width="12.5703125" style="49" bestFit="1" customWidth="1"/>
    <col min="13315" max="13315" width="6.5703125" style="49" customWidth="1"/>
    <col min="13316" max="13325" width="2" style="49" bestFit="1" customWidth="1"/>
    <col min="13326" max="13326" width="3.85546875" style="49" bestFit="1" customWidth="1"/>
    <col min="13327" max="13327" width="2" style="49" bestFit="1" customWidth="1"/>
    <col min="13328" max="13328" width="5.42578125" style="49" bestFit="1" customWidth="1"/>
    <col min="13329" max="13329" width="11.7109375" style="49" bestFit="1" customWidth="1"/>
    <col min="13330" max="13330" width="6.140625" style="49" bestFit="1" customWidth="1"/>
    <col min="13331" max="13331" width="39.28515625" style="49" bestFit="1" customWidth="1"/>
    <col min="13332" max="13569" width="9.140625" style="49"/>
    <col min="13570" max="13570" width="12.5703125" style="49" bestFit="1" customWidth="1"/>
    <col min="13571" max="13571" width="6.5703125" style="49" customWidth="1"/>
    <col min="13572" max="13581" width="2" style="49" bestFit="1" customWidth="1"/>
    <col min="13582" max="13582" width="3.85546875" style="49" bestFit="1" customWidth="1"/>
    <col min="13583" max="13583" width="2" style="49" bestFit="1" customWidth="1"/>
    <col min="13584" max="13584" width="5.42578125" style="49" bestFit="1" customWidth="1"/>
    <col min="13585" max="13585" width="11.7109375" style="49" bestFit="1" customWidth="1"/>
    <col min="13586" max="13586" width="6.140625" style="49" bestFit="1" customWidth="1"/>
    <col min="13587" max="13587" width="39.28515625" style="49" bestFit="1" customWidth="1"/>
    <col min="13588" max="13825" width="9.140625" style="49"/>
    <col min="13826" max="13826" width="12.5703125" style="49" bestFit="1" customWidth="1"/>
    <col min="13827" max="13827" width="6.5703125" style="49" customWidth="1"/>
    <col min="13828" max="13837" width="2" style="49" bestFit="1" customWidth="1"/>
    <col min="13838" max="13838" width="3.85546875" style="49" bestFit="1" customWidth="1"/>
    <col min="13839" max="13839" width="2" style="49" bestFit="1" customWidth="1"/>
    <col min="13840" max="13840" width="5.42578125" style="49" bestFit="1" customWidth="1"/>
    <col min="13841" max="13841" width="11.7109375" style="49" bestFit="1" customWidth="1"/>
    <col min="13842" max="13842" width="6.140625" style="49" bestFit="1" customWidth="1"/>
    <col min="13843" max="13843" width="39.28515625" style="49" bestFit="1" customWidth="1"/>
    <col min="13844" max="14081" width="9.140625" style="49"/>
    <col min="14082" max="14082" width="12.5703125" style="49" bestFit="1" customWidth="1"/>
    <col min="14083" max="14083" width="6.5703125" style="49" customWidth="1"/>
    <col min="14084" max="14093" width="2" style="49" bestFit="1" customWidth="1"/>
    <col min="14094" max="14094" width="3.85546875" style="49" bestFit="1" customWidth="1"/>
    <col min="14095" max="14095" width="2" style="49" bestFit="1" customWidth="1"/>
    <col min="14096" max="14096" width="5.42578125" style="49" bestFit="1" customWidth="1"/>
    <col min="14097" max="14097" width="11.7109375" style="49" bestFit="1" customWidth="1"/>
    <col min="14098" max="14098" width="6.140625" style="49" bestFit="1" customWidth="1"/>
    <col min="14099" max="14099" width="39.28515625" style="49" bestFit="1" customWidth="1"/>
    <col min="14100" max="14337" width="9.140625" style="49"/>
    <col min="14338" max="14338" width="12.5703125" style="49" bestFit="1" customWidth="1"/>
    <col min="14339" max="14339" width="6.5703125" style="49" customWidth="1"/>
    <col min="14340" max="14349" width="2" style="49" bestFit="1" customWidth="1"/>
    <col min="14350" max="14350" width="3.85546875" style="49" bestFit="1" customWidth="1"/>
    <col min="14351" max="14351" width="2" style="49" bestFit="1" customWidth="1"/>
    <col min="14352" max="14352" width="5.42578125" style="49" bestFit="1" customWidth="1"/>
    <col min="14353" max="14353" width="11.7109375" style="49" bestFit="1" customWidth="1"/>
    <col min="14354" max="14354" width="6.140625" style="49" bestFit="1" customWidth="1"/>
    <col min="14355" max="14355" width="39.28515625" style="49" bestFit="1" customWidth="1"/>
    <col min="14356" max="14593" width="9.140625" style="49"/>
    <col min="14594" max="14594" width="12.5703125" style="49" bestFit="1" customWidth="1"/>
    <col min="14595" max="14595" width="6.5703125" style="49" customWidth="1"/>
    <col min="14596" max="14605" width="2" style="49" bestFit="1" customWidth="1"/>
    <col min="14606" max="14606" width="3.85546875" style="49" bestFit="1" customWidth="1"/>
    <col min="14607" max="14607" width="2" style="49" bestFit="1" customWidth="1"/>
    <col min="14608" max="14608" width="5.42578125" style="49" bestFit="1" customWidth="1"/>
    <col min="14609" max="14609" width="11.7109375" style="49" bestFit="1" customWidth="1"/>
    <col min="14610" max="14610" width="6.140625" style="49" bestFit="1" customWidth="1"/>
    <col min="14611" max="14611" width="39.28515625" style="49" bestFit="1" customWidth="1"/>
    <col min="14612" max="14849" width="9.140625" style="49"/>
    <col min="14850" max="14850" width="12.5703125" style="49" bestFit="1" customWidth="1"/>
    <col min="14851" max="14851" width="6.5703125" style="49" customWidth="1"/>
    <col min="14852" max="14861" width="2" style="49" bestFit="1" customWidth="1"/>
    <col min="14862" max="14862" width="3.85546875" style="49" bestFit="1" customWidth="1"/>
    <col min="14863" max="14863" width="2" style="49" bestFit="1" customWidth="1"/>
    <col min="14864" max="14864" width="5.42578125" style="49" bestFit="1" customWidth="1"/>
    <col min="14865" max="14865" width="11.7109375" style="49" bestFit="1" customWidth="1"/>
    <col min="14866" max="14866" width="6.140625" style="49" bestFit="1" customWidth="1"/>
    <col min="14867" max="14867" width="39.28515625" style="49" bestFit="1" customWidth="1"/>
    <col min="14868" max="15105" width="9.140625" style="49"/>
    <col min="15106" max="15106" width="12.5703125" style="49" bestFit="1" customWidth="1"/>
    <col min="15107" max="15107" width="6.5703125" style="49" customWidth="1"/>
    <col min="15108" max="15117" width="2" style="49" bestFit="1" customWidth="1"/>
    <col min="15118" max="15118" width="3.85546875" style="49" bestFit="1" customWidth="1"/>
    <col min="15119" max="15119" width="2" style="49" bestFit="1" customWidth="1"/>
    <col min="15120" max="15120" width="5.42578125" style="49" bestFit="1" customWidth="1"/>
    <col min="15121" max="15121" width="11.7109375" style="49" bestFit="1" customWidth="1"/>
    <col min="15122" max="15122" width="6.140625" style="49" bestFit="1" customWidth="1"/>
    <col min="15123" max="15123" width="39.28515625" style="49" bestFit="1" customWidth="1"/>
    <col min="15124" max="15361" width="9.140625" style="49"/>
    <col min="15362" max="15362" width="12.5703125" style="49" bestFit="1" customWidth="1"/>
    <col min="15363" max="15363" width="6.5703125" style="49" customWidth="1"/>
    <col min="15364" max="15373" width="2" style="49" bestFit="1" customWidth="1"/>
    <col min="15374" max="15374" width="3.85546875" style="49" bestFit="1" customWidth="1"/>
    <col min="15375" max="15375" width="2" style="49" bestFit="1" customWidth="1"/>
    <col min="15376" max="15376" width="5.42578125" style="49" bestFit="1" customWidth="1"/>
    <col min="15377" max="15377" width="11.7109375" style="49" bestFit="1" customWidth="1"/>
    <col min="15378" max="15378" width="6.140625" style="49" bestFit="1" customWidth="1"/>
    <col min="15379" max="15379" width="39.28515625" style="49" bestFit="1" customWidth="1"/>
    <col min="15380" max="15617" width="9.140625" style="49"/>
    <col min="15618" max="15618" width="12.5703125" style="49" bestFit="1" customWidth="1"/>
    <col min="15619" max="15619" width="6.5703125" style="49" customWidth="1"/>
    <col min="15620" max="15629" width="2" style="49" bestFit="1" customWidth="1"/>
    <col min="15630" max="15630" width="3.85546875" style="49" bestFit="1" customWidth="1"/>
    <col min="15631" max="15631" width="2" style="49" bestFit="1" customWidth="1"/>
    <col min="15632" max="15632" width="5.42578125" style="49" bestFit="1" customWidth="1"/>
    <col min="15633" max="15633" width="11.7109375" style="49" bestFit="1" customWidth="1"/>
    <col min="15634" max="15634" width="6.140625" style="49" bestFit="1" customWidth="1"/>
    <col min="15635" max="15635" width="39.28515625" style="49" bestFit="1" customWidth="1"/>
    <col min="15636" max="15873" width="9.140625" style="49"/>
    <col min="15874" max="15874" width="12.5703125" style="49" bestFit="1" customWidth="1"/>
    <col min="15875" max="15875" width="6.5703125" style="49" customWidth="1"/>
    <col min="15876" max="15885" width="2" style="49" bestFit="1" customWidth="1"/>
    <col min="15886" max="15886" width="3.85546875" style="49" bestFit="1" customWidth="1"/>
    <col min="15887" max="15887" width="2" style="49" bestFit="1" customWidth="1"/>
    <col min="15888" max="15888" width="5.42578125" style="49" bestFit="1" customWidth="1"/>
    <col min="15889" max="15889" width="11.7109375" style="49" bestFit="1" customWidth="1"/>
    <col min="15890" max="15890" width="6.140625" style="49" bestFit="1" customWidth="1"/>
    <col min="15891" max="15891" width="39.28515625" style="49" bestFit="1" customWidth="1"/>
    <col min="15892" max="16129" width="9.140625" style="49"/>
    <col min="16130" max="16130" width="12.5703125" style="49" bestFit="1" customWidth="1"/>
    <col min="16131" max="16131" width="6.5703125" style="49" customWidth="1"/>
    <col min="16132" max="16141" width="2" style="49" bestFit="1" customWidth="1"/>
    <col min="16142" max="16142" width="3.85546875" style="49" bestFit="1" customWidth="1"/>
    <col min="16143" max="16143" width="2" style="49" bestFit="1" customWidth="1"/>
    <col min="16144" max="16144" width="5.42578125" style="49" bestFit="1" customWidth="1"/>
    <col min="16145" max="16145" width="11.7109375" style="49" bestFit="1" customWidth="1"/>
    <col min="16146" max="16146" width="6.140625" style="49" bestFit="1" customWidth="1"/>
    <col min="16147" max="16147" width="39.28515625" style="49" bestFit="1" customWidth="1"/>
    <col min="16148" max="16384" width="9.140625" style="49"/>
  </cols>
  <sheetData>
    <row r="1" spans="1:19" x14ac:dyDescent="0.2">
      <c r="A1" s="50" t="s">
        <v>148</v>
      </c>
      <c r="B1" s="51" t="s">
        <v>149</v>
      </c>
      <c r="C1" s="50">
        <f>+R1</f>
        <v>0</v>
      </c>
      <c r="D1" s="50"/>
      <c r="E1" s="50"/>
      <c r="F1" s="50"/>
      <c r="G1" s="50"/>
      <c r="H1" s="50" t="s">
        <v>150</v>
      </c>
      <c r="I1" s="50"/>
      <c r="J1" s="50"/>
      <c r="K1" s="50"/>
      <c r="L1" s="50"/>
      <c r="M1" s="50"/>
      <c r="N1" s="51" t="s">
        <v>151</v>
      </c>
      <c r="O1" s="50"/>
      <c r="P1" s="51" t="s">
        <v>152</v>
      </c>
      <c r="Q1" s="50"/>
      <c r="R1" s="58">
        <f>+V21</f>
        <v>0</v>
      </c>
      <c r="S1" s="49" t="str">
        <f>+C5</f>
        <v>Rs Only</v>
      </c>
    </row>
    <row r="2" spans="1:19" hidden="1" x14ac:dyDescent="0.2">
      <c r="A2" s="50" t="s">
        <v>153</v>
      </c>
      <c r="B2" s="51" t="s">
        <v>154</v>
      </c>
      <c r="C2" s="50">
        <f>MOD(C1,100000)</f>
        <v>0</v>
      </c>
      <c r="D2" s="52">
        <f>ROUNDDOWN((MOD(C3,10000))/1000,0)</f>
        <v>0</v>
      </c>
      <c r="E2" s="52">
        <f>ROUNDDOWN((MOD(C3,1000))/100,0)</f>
        <v>0</v>
      </c>
      <c r="F2" s="52">
        <f>ROUNDDOWN((MOD(C3,100))/10,0)</f>
        <v>0</v>
      </c>
      <c r="G2" s="52">
        <f>MOD(C3,10)</f>
        <v>0</v>
      </c>
      <c r="H2" s="52">
        <f>ROUNDDOWN((MOD(C1,100000))/10000,0)</f>
        <v>0</v>
      </c>
      <c r="I2" s="52">
        <f>ROUNDDOWN((MOD(C1,10000))/1000,0)</f>
        <v>0</v>
      </c>
      <c r="J2" s="52">
        <f>ROUNDDOWN((MOD(C1,1000))/100,0)</f>
        <v>0</v>
      </c>
      <c r="K2" s="52">
        <f>ROUNDDOWN((MOD(C1,100))/10,0)</f>
        <v>0</v>
      </c>
      <c r="L2" s="52">
        <f>MOD(C1,10)</f>
        <v>0</v>
      </c>
      <c r="M2" s="52">
        <f>(D2*10)+E2</f>
        <v>0</v>
      </c>
      <c r="N2" s="52">
        <f>(F2*10)+G2</f>
        <v>0</v>
      </c>
      <c r="O2" s="52">
        <f>(H2*10)+I2</f>
        <v>0</v>
      </c>
      <c r="P2" s="50">
        <f>+J2</f>
        <v>0</v>
      </c>
      <c r="Q2" s="50">
        <f>K2*10+L2</f>
        <v>0</v>
      </c>
      <c r="R2" s="49" t="e">
        <f>+#REF!</f>
        <v>#REF!</v>
      </c>
    </row>
    <row r="3" spans="1:19" hidden="1" x14ac:dyDescent="0.2">
      <c r="A3" s="50" t="s">
        <v>155</v>
      </c>
      <c r="B3" s="51" t="s">
        <v>156</v>
      </c>
      <c r="C3" s="50">
        <f>(C1-C2)/100000</f>
        <v>0</v>
      </c>
      <c r="D3" s="50"/>
      <c r="E3" s="50"/>
      <c r="F3" s="50"/>
      <c r="G3" s="50"/>
      <c r="H3" s="50"/>
      <c r="I3" s="50"/>
      <c r="J3" s="50"/>
      <c r="K3" s="50"/>
      <c r="L3" s="51" t="s">
        <v>157</v>
      </c>
      <c r="M3" s="50" t="str">
        <f>VLOOKUP(M2,$A$5:$B$104,2)</f>
        <v xml:space="preserve"> </v>
      </c>
      <c r="N3" s="50" t="str">
        <f>VLOOKUP(N2,$A$5:$B$104,2)</f>
        <v xml:space="preserve"> </v>
      </c>
      <c r="O3" s="50" t="str">
        <f>VLOOKUP(O2,$A$5:$B$104,2)</f>
        <v xml:space="preserve"> </v>
      </c>
      <c r="P3" s="50" t="str">
        <f>VLOOKUP(P2,$A$5:$B$104,2)</f>
        <v xml:space="preserve"> </v>
      </c>
      <c r="Q3" s="50" t="str">
        <f>VLOOKUP(Q2,$A$5:$B$104,2)</f>
        <v xml:space="preserve"> </v>
      </c>
      <c r="R3" s="49" t="e">
        <f>+#REF!</f>
        <v>#REF!</v>
      </c>
    </row>
    <row r="4" spans="1:19" hidden="1" x14ac:dyDescent="0.2">
      <c r="A4" s="50" t="s">
        <v>158</v>
      </c>
      <c r="B4" s="51" t="s">
        <v>159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 t="str">
        <f>IF(M2&gt;=1,$B$4,$B$5)</f>
        <v xml:space="preserve"> </v>
      </c>
      <c r="N4" s="50" t="str">
        <f>IF(N2&gt;=1,$B$3,$B$5)</f>
        <v xml:space="preserve"> </v>
      </c>
      <c r="O4" s="50" t="str">
        <f>IF(O2&gt;=1,$B$1,$B$5)</f>
        <v xml:space="preserve"> </v>
      </c>
      <c r="P4" s="50" t="str">
        <f>IF(P2&gt;=1,$B$2,$B$5)</f>
        <v xml:space="preserve"> </v>
      </c>
      <c r="Q4" s="50"/>
      <c r="R4" s="49" t="e">
        <f>+#REF!</f>
        <v>#REF!</v>
      </c>
    </row>
    <row r="5" spans="1:19" ht="15.75" hidden="1" x14ac:dyDescent="0.25">
      <c r="A5" s="50">
        <v>0</v>
      </c>
      <c r="B5" s="51" t="s">
        <v>157</v>
      </c>
      <c r="C5" s="53" t="str">
        <f>TRIM(N1&amp;M5&amp;N5&amp;O5&amp;P5&amp;Q5&amp;P1)</f>
        <v>Rs Only</v>
      </c>
      <c r="D5" s="50"/>
      <c r="E5" s="50"/>
      <c r="F5" s="50"/>
      <c r="G5" s="50"/>
      <c r="H5" s="50"/>
      <c r="I5" s="50"/>
      <c r="J5" s="50"/>
      <c r="K5" s="50"/>
      <c r="L5" s="50"/>
      <c r="M5" s="54" t="str">
        <f>M3&amp;L3&amp;M4</f>
        <v xml:space="preserve">   </v>
      </c>
      <c r="N5" s="54" t="str">
        <f>N3&amp;L3&amp;N4</f>
        <v xml:space="preserve">   </v>
      </c>
      <c r="O5" s="54" t="str">
        <f>O3&amp;L3&amp;O4</f>
        <v xml:space="preserve">   </v>
      </c>
      <c r="P5" s="54" t="str">
        <f>P3&amp;L3&amp;P4</f>
        <v xml:space="preserve">   </v>
      </c>
      <c r="Q5" s="54" t="str">
        <f>Q3&amp;L3&amp;Q4</f>
        <v xml:space="preserve">  </v>
      </c>
      <c r="R5" s="49" t="e">
        <f>+#REF!</f>
        <v>#REF!</v>
      </c>
    </row>
    <row r="6" spans="1:19" x14ac:dyDescent="0.2">
      <c r="A6" s="49">
        <v>1</v>
      </c>
      <c r="B6" s="49" t="s">
        <v>160</v>
      </c>
      <c r="C6" s="50">
        <f>+R6</f>
        <v>0</v>
      </c>
      <c r="D6" s="50"/>
      <c r="E6" s="50"/>
      <c r="F6" s="50"/>
      <c r="G6" s="50"/>
      <c r="H6" s="50" t="s">
        <v>150</v>
      </c>
      <c r="I6" s="50"/>
      <c r="J6" s="50"/>
      <c r="K6" s="50"/>
      <c r="L6" s="50"/>
      <c r="M6" s="50"/>
      <c r="N6" s="51" t="s">
        <v>151</v>
      </c>
      <c r="O6" s="50"/>
      <c r="P6" s="51" t="s">
        <v>152</v>
      </c>
      <c r="Q6" s="50"/>
    </row>
    <row r="7" spans="1:19" hidden="1" x14ac:dyDescent="0.2">
      <c r="A7" s="49">
        <v>2</v>
      </c>
      <c r="B7" s="49" t="s">
        <v>161</v>
      </c>
      <c r="C7" s="50">
        <f>MOD(C6,100000)</f>
        <v>0</v>
      </c>
      <c r="D7" s="52">
        <f>ROUNDDOWN((MOD(C8,10000))/1000,0)</f>
        <v>0</v>
      </c>
      <c r="E7" s="52">
        <f>ROUNDDOWN((MOD(C8,1000))/100,0)</f>
        <v>0</v>
      </c>
      <c r="F7" s="52">
        <f>ROUNDDOWN((MOD(C8,100))/10,0)</f>
        <v>0</v>
      </c>
      <c r="G7" s="52">
        <f>MOD(C8,10)</f>
        <v>0</v>
      </c>
      <c r="H7" s="52">
        <f>ROUNDDOWN((MOD(C6,100000))/10000,0)</f>
        <v>0</v>
      </c>
      <c r="I7" s="52">
        <f>ROUNDDOWN((MOD(C6,10000))/1000,0)</f>
        <v>0</v>
      </c>
      <c r="J7" s="52">
        <f>ROUNDDOWN((MOD(C6,1000))/100,0)</f>
        <v>0</v>
      </c>
      <c r="K7" s="52">
        <f>ROUNDDOWN((MOD(C6,100))/10,0)</f>
        <v>0</v>
      </c>
      <c r="L7" s="52">
        <f>MOD(C6,10)</f>
        <v>0</v>
      </c>
      <c r="M7" s="52">
        <f>(D7*10)+E7</f>
        <v>0</v>
      </c>
      <c r="N7" s="52">
        <f>(F7*10)+G7</f>
        <v>0</v>
      </c>
      <c r="O7" s="52">
        <f>(H7*10)+I7</f>
        <v>0</v>
      </c>
      <c r="P7" s="50">
        <f>+J7</f>
        <v>0</v>
      </c>
      <c r="Q7" s="50">
        <f>K7*10+L7</f>
        <v>0</v>
      </c>
    </row>
    <row r="8" spans="1:19" hidden="1" x14ac:dyDescent="0.2">
      <c r="A8" s="49">
        <v>3</v>
      </c>
      <c r="B8" s="49" t="s">
        <v>162</v>
      </c>
      <c r="C8" s="50">
        <f>(C6-C7)/100000</f>
        <v>0</v>
      </c>
      <c r="D8" s="50"/>
      <c r="E8" s="50"/>
      <c r="F8" s="50"/>
      <c r="G8" s="50"/>
      <c r="H8" s="50"/>
      <c r="I8" s="50"/>
      <c r="J8" s="50"/>
      <c r="K8" s="50"/>
      <c r="L8" s="51" t="s">
        <v>157</v>
      </c>
      <c r="M8" s="50" t="str">
        <f>VLOOKUP(M7,$A$5:$B$104,2)</f>
        <v xml:space="preserve"> </v>
      </c>
      <c r="N8" s="50" t="str">
        <f>VLOOKUP(N7,$A$5:$B$104,2)</f>
        <v xml:space="preserve"> </v>
      </c>
      <c r="O8" s="50" t="str">
        <f>VLOOKUP(O7,$A$5:$B$104,2)</f>
        <v xml:space="preserve"> </v>
      </c>
      <c r="P8" s="50" t="str">
        <f>VLOOKUP(P7,$A$5:$B$104,2)</f>
        <v xml:space="preserve"> </v>
      </c>
      <c r="Q8" s="50" t="str">
        <f>VLOOKUP(Q7,$A$5:$B$104,2)</f>
        <v xml:space="preserve"> </v>
      </c>
    </row>
    <row r="9" spans="1:19" hidden="1" x14ac:dyDescent="0.2">
      <c r="A9" s="49">
        <v>4</v>
      </c>
      <c r="B9" s="49" t="s">
        <v>163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 t="str">
        <f>IF(M7&gt;=1,$B$4,$B$5)</f>
        <v xml:space="preserve"> </v>
      </c>
      <c r="N9" s="50" t="str">
        <f>IF(N7&gt;=1,$B$3,$B$5)</f>
        <v xml:space="preserve"> </v>
      </c>
      <c r="O9" s="50" t="str">
        <f>IF(O7&gt;=1,$B$1,$B$5)</f>
        <v xml:space="preserve"> </v>
      </c>
      <c r="P9" s="50" t="str">
        <f>IF(P7&gt;=1,$B$2,$B$5)</f>
        <v xml:space="preserve"> </v>
      </c>
      <c r="Q9" s="50"/>
    </row>
    <row r="10" spans="1:19" ht="15.75" hidden="1" x14ac:dyDescent="0.25">
      <c r="A10" s="49">
        <v>5</v>
      </c>
      <c r="B10" s="49" t="s">
        <v>164</v>
      </c>
      <c r="C10" s="53" t="str">
        <f>TRIM(N6&amp;M10&amp;N10&amp;O10&amp;P10&amp;Q10&amp;P6)</f>
        <v>Rs Only</v>
      </c>
      <c r="D10" s="50"/>
      <c r="E10" s="50"/>
      <c r="F10" s="50"/>
      <c r="G10" s="50"/>
      <c r="H10" s="50"/>
      <c r="I10" s="50"/>
      <c r="J10" s="50"/>
      <c r="K10" s="50"/>
      <c r="L10" s="50"/>
      <c r="M10" s="54" t="str">
        <f>M8&amp;L8&amp;M9</f>
        <v xml:space="preserve">   </v>
      </c>
      <c r="N10" s="54" t="str">
        <f>N8&amp;L8&amp;N9</f>
        <v xml:space="preserve">   </v>
      </c>
      <c r="O10" s="54" t="str">
        <f>O8&amp;L8&amp;O9</f>
        <v xml:space="preserve">   </v>
      </c>
      <c r="P10" s="54" t="str">
        <f>P8&amp;L8&amp;P9</f>
        <v xml:space="preserve">   </v>
      </c>
      <c r="Q10" s="54" t="str">
        <f>Q8&amp;L8&amp;Q9</f>
        <v xml:space="preserve">  </v>
      </c>
    </row>
    <row r="11" spans="1:19" x14ac:dyDescent="0.2">
      <c r="A11" s="49">
        <v>6</v>
      </c>
      <c r="B11" s="49" t="s">
        <v>165</v>
      </c>
      <c r="C11" s="50">
        <f>+R11</f>
        <v>0</v>
      </c>
      <c r="D11" s="50"/>
      <c r="E11" s="50"/>
      <c r="F11" s="50"/>
      <c r="G11" s="50"/>
      <c r="H11" s="50" t="s">
        <v>150</v>
      </c>
      <c r="I11" s="50"/>
      <c r="J11" s="50"/>
      <c r="K11" s="50"/>
      <c r="L11" s="50"/>
      <c r="M11" s="50"/>
      <c r="N11" s="51" t="s">
        <v>151</v>
      </c>
      <c r="O11" s="50"/>
      <c r="P11" s="51" t="s">
        <v>152</v>
      </c>
      <c r="Q11" s="50"/>
    </row>
    <row r="12" spans="1:19" hidden="1" x14ac:dyDescent="0.2">
      <c r="A12" s="49">
        <v>7</v>
      </c>
      <c r="B12" s="49" t="s">
        <v>166</v>
      </c>
      <c r="C12" s="50">
        <f>MOD(C11,100000)</f>
        <v>0</v>
      </c>
      <c r="D12" s="52">
        <f>ROUNDDOWN((MOD(C13,10000))/1000,0)</f>
        <v>0</v>
      </c>
      <c r="E12" s="52">
        <f>ROUNDDOWN((MOD(C13,1000))/100,0)</f>
        <v>0</v>
      </c>
      <c r="F12" s="52">
        <f>ROUNDDOWN((MOD(C13,100))/10,0)</f>
        <v>0</v>
      </c>
      <c r="G12" s="52">
        <f>MOD(C13,10)</f>
        <v>0</v>
      </c>
      <c r="H12" s="52">
        <f>ROUNDDOWN((MOD(C11,100000))/10000,0)</f>
        <v>0</v>
      </c>
      <c r="I12" s="52">
        <f>ROUNDDOWN((MOD(C11,10000))/1000,0)</f>
        <v>0</v>
      </c>
      <c r="J12" s="52">
        <f>ROUNDDOWN((MOD(C11,1000))/100,0)</f>
        <v>0</v>
      </c>
      <c r="K12" s="52">
        <f>ROUNDDOWN((MOD(C11,100))/10,0)</f>
        <v>0</v>
      </c>
      <c r="L12" s="52">
        <f>MOD(C11,10)</f>
        <v>0</v>
      </c>
      <c r="M12" s="52">
        <f>(D12*10)+E12</f>
        <v>0</v>
      </c>
      <c r="N12" s="52">
        <f>(F12*10)+G12</f>
        <v>0</v>
      </c>
      <c r="O12" s="52">
        <f>(H12*10)+I12</f>
        <v>0</v>
      </c>
      <c r="P12" s="50">
        <f>+J12</f>
        <v>0</v>
      </c>
      <c r="Q12" s="50">
        <f>K12*10+L12</f>
        <v>0</v>
      </c>
    </row>
    <row r="13" spans="1:19" hidden="1" x14ac:dyDescent="0.2">
      <c r="A13" s="49">
        <v>8</v>
      </c>
      <c r="B13" s="49" t="s">
        <v>167</v>
      </c>
      <c r="C13" s="50">
        <f>(C11-C12)/100000</f>
        <v>0</v>
      </c>
      <c r="D13" s="50"/>
      <c r="E13" s="50"/>
      <c r="F13" s="50"/>
      <c r="G13" s="50"/>
      <c r="H13" s="50"/>
      <c r="I13" s="50"/>
      <c r="J13" s="50"/>
      <c r="K13" s="50"/>
      <c r="L13" s="51" t="s">
        <v>157</v>
      </c>
      <c r="M13" s="50" t="str">
        <f>VLOOKUP(M12,$A$5:$B$104,2)</f>
        <v xml:space="preserve"> </v>
      </c>
      <c r="N13" s="50" t="str">
        <f>VLOOKUP(N12,$A$5:$B$104,2)</f>
        <v xml:space="preserve"> </v>
      </c>
      <c r="O13" s="50" t="str">
        <f>VLOOKUP(O12,$A$5:$B$104,2)</f>
        <v xml:space="preserve"> </v>
      </c>
      <c r="P13" s="50" t="str">
        <f>VLOOKUP(P12,$A$5:$B$104,2)</f>
        <v xml:space="preserve"> </v>
      </c>
      <c r="Q13" s="50" t="str">
        <f>VLOOKUP(Q12,$A$5:$B$104,2)</f>
        <v xml:space="preserve"> </v>
      </c>
    </row>
    <row r="14" spans="1:19" hidden="1" x14ac:dyDescent="0.2">
      <c r="A14" s="49">
        <v>9</v>
      </c>
      <c r="B14" s="49" t="s">
        <v>168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 t="str">
        <f>IF(M12&gt;=1,$B$4,$B$5)</f>
        <v xml:space="preserve"> </v>
      </c>
      <c r="N14" s="50" t="str">
        <f>IF(N12&gt;=1,$B$3,$B$5)</f>
        <v xml:space="preserve"> </v>
      </c>
      <c r="O14" s="50" t="str">
        <f>IF(O12&gt;=1,$B$1,$B$5)</f>
        <v xml:space="preserve"> </v>
      </c>
      <c r="P14" s="50" t="str">
        <f>IF(P12&gt;=1,$B$2,$B$5)</f>
        <v xml:space="preserve"> </v>
      </c>
      <c r="Q14" s="50"/>
    </row>
    <row r="15" spans="1:19" ht="15.75" hidden="1" x14ac:dyDescent="0.25">
      <c r="A15" s="49">
        <v>10</v>
      </c>
      <c r="B15" s="49" t="s">
        <v>169</v>
      </c>
      <c r="C15" s="53" t="str">
        <f>TRIM(N11&amp;M15&amp;N15&amp;O15&amp;P15&amp;Q15&amp;P11)</f>
        <v>Rs Only</v>
      </c>
      <c r="D15" s="50"/>
      <c r="E15" s="50"/>
      <c r="F15" s="50"/>
      <c r="G15" s="50"/>
      <c r="H15" s="50"/>
      <c r="I15" s="50"/>
      <c r="J15" s="50"/>
      <c r="K15" s="50"/>
      <c r="L15" s="50"/>
      <c r="M15" s="54" t="str">
        <f>M13&amp;L13&amp;M14</f>
        <v xml:space="preserve">   </v>
      </c>
      <c r="N15" s="54" t="str">
        <f>N13&amp;L13&amp;N14</f>
        <v xml:space="preserve">   </v>
      </c>
      <c r="O15" s="54" t="str">
        <f>O13&amp;L13&amp;O14</f>
        <v xml:space="preserve">   </v>
      </c>
      <c r="P15" s="54" t="str">
        <f>P13&amp;L13&amp;P14</f>
        <v xml:space="preserve">   </v>
      </c>
      <c r="Q15" s="54" t="str">
        <f>Q13&amp;L13&amp;Q14</f>
        <v xml:space="preserve">  </v>
      </c>
    </row>
    <row r="16" spans="1:19" x14ac:dyDescent="0.2">
      <c r="A16" s="49">
        <v>11</v>
      </c>
      <c r="B16" s="49" t="s">
        <v>170</v>
      </c>
      <c r="C16" s="50">
        <f>+R16</f>
        <v>0</v>
      </c>
      <c r="D16" s="50"/>
      <c r="E16" s="50"/>
      <c r="F16" s="50"/>
      <c r="G16" s="50"/>
      <c r="H16" s="50" t="s">
        <v>150</v>
      </c>
      <c r="I16" s="50"/>
      <c r="J16" s="50"/>
      <c r="K16" s="50"/>
      <c r="L16" s="50"/>
      <c r="M16" s="50"/>
      <c r="N16" s="51" t="s">
        <v>151</v>
      </c>
      <c r="O16" s="50"/>
      <c r="P16" s="51" t="s">
        <v>152</v>
      </c>
      <c r="Q16" s="50"/>
    </row>
    <row r="17" spans="1:23" hidden="1" x14ac:dyDescent="0.2">
      <c r="A17" s="49">
        <v>12</v>
      </c>
      <c r="B17" s="49" t="s">
        <v>171</v>
      </c>
      <c r="C17" s="50">
        <f>MOD(C16,100000)</f>
        <v>0</v>
      </c>
      <c r="D17" s="52">
        <f>ROUNDDOWN((MOD(C18,10000))/1000,0)</f>
        <v>0</v>
      </c>
      <c r="E17" s="52">
        <f>ROUNDDOWN((MOD(C18,1000))/100,0)</f>
        <v>0</v>
      </c>
      <c r="F17" s="52">
        <f>ROUNDDOWN((MOD(C18,100))/10,0)</f>
        <v>0</v>
      </c>
      <c r="G17" s="52">
        <f>MOD(C18,10)</f>
        <v>0</v>
      </c>
      <c r="H17" s="52">
        <f>ROUNDDOWN((MOD(C16,100000))/10000,0)</f>
        <v>0</v>
      </c>
      <c r="I17" s="52">
        <f>ROUNDDOWN((MOD(C16,10000))/1000,0)</f>
        <v>0</v>
      </c>
      <c r="J17" s="52">
        <f>ROUNDDOWN((MOD(C16,1000))/100,0)</f>
        <v>0</v>
      </c>
      <c r="K17" s="52">
        <f>ROUNDDOWN((MOD(C16,100))/10,0)</f>
        <v>0</v>
      </c>
      <c r="L17" s="52">
        <f>MOD(C16,10)</f>
        <v>0</v>
      </c>
      <c r="M17" s="52">
        <f>(D17*10)+E17</f>
        <v>0</v>
      </c>
      <c r="N17" s="52">
        <f>(F17*10)+G17</f>
        <v>0</v>
      </c>
      <c r="O17" s="52">
        <f>(H17*10)+I17</f>
        <v>0</v>
      </c>
      <c r="P17" s="50">
        <f>+J17</f>
        <v>0</v>
      </c>
      <c r="Q17" s="50">
        <f>K17*10+L17</f>
        <v>0</v>
      </c>
    </row>
    <row r="18" spans="1:23" hidden="1" x14ac:dyDescent="0.2">
      <c r="A18" s="49">
        <v>13</v>
      </c>
      <c r="B18" s="49" t="s">
        <v>172</v>
      </c>
      <c r="C18" s="50">
        <f>(C16-C17)/100000</f>
        <v>0</v>
      </c>
      <c r="D18" s="50"/>
      <c r="E18" s="50"/>
      <c r="F18" s="50"/>
      <c r="G18" s="50"/>
      <c r="H18" s="50"/>
      <c r="I18" s="50"/>
      <c r="J18" s="50"/>
      <c r="K18" s="50"/>
      <c r="L18" s="51" t="s">
        <v>157</v>
      </c>
      <c r="M18" s="50" t="str">
        <f>VLOOKUP(M17,$A$5:$B$104,2)</f>
        <v xml:space="preserve"> </v>
      </c>
      <c r="N18" s="50" t="str">
        <f>VLOOKUP(N17,$A$5:$B$104,2)</f>
        <v xml:space="preserve"> </v>
      </c>
      <c r="O18" s="50" t="str">
        <f>VLOOKUP(O17,$A$5:$B$104,2)</f>
        <v xml:space="preserve"> </v>
      </c>
      <c r="P18" s="50" t="str">
        <f>VLOOKUP(P17,$A$5:$B$104,2)</f>
        <v xml:space="preserve"> </v>
      </c>
      <c r="Q18" s="50" t="str">
        <f>VLOOKUP(Q17,$A$5:$B$104,2)</f>
        <v xml:space="preserve"> </v>
      </c>
    </row>
    <row r="19" spans="1:23" hidden="1" x14ac:dyDescent="0.2">
      <c r="A19" s="49">
        <v>14</v>
      </c>
      <c r="B19" s="49" t="s">
        <v>173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 t="str">
        <f>IF(M17&gt;=1,$B$4,$B$5)</f>
        <v xml:space="preserve"> </v>
      </c>
      <c r="N19" s="50" t="str">
        <f>IF(N17&gt;=1,$B$3,$B$5)</f>
        <v xml:space="preserve"> </v>
      </c>
      <c r="O19" s="50" t="str">
        <f>IF(O17&gt;=1,$B$1,$B$5)</f>
        <v xml:space="preserve"> </v>
      </c>
      <c r="P19" s="50" t="str">
        <f>IF(P17&gt;=1,$B$2,$B$5)</f>
        <v xml:space="preserve"> </v>
      </c>
      <c r="Q19" s="50"/>
    </row>
    <row r="20" spans="1:23" ht="15.75" hidden="1" x14ac:dyDescent="0.25">
      <c r="A20" s="49">
        <v>15</v>
      </c>
      <c r="B20" s="49" t="s">
        <v>174</v>
      </c>
      <c r="C20" s="53" t="str">
        <f>TRIM(N16&amp;M20&amp;N20&amp;O20&amp;P20&amp;Q20&amp;P16)</f>
        <v>Rs Only</v>
      </c>
      <c r="D20" s="50"/>
      <c r="E20" s="50"/>
      <c r="F20" s="50"/>
      <c r="G20" s="50"/>
      <c r="H20" s="50"/>
      <c r="I20" s="50"/>
      <c r="J20" s="50"/>
      <c r="K20" s="50"/>
      <c r="L20" s="50"/>
      <c r="M20" s="54" t="str">
        <f>M18&amp;L18&amp;M19</f>
        <v xml:space="preserve">   </v>
      </c>
      <c r="N20" s="54" t="str">
        <f>N18&amp;L18&amp;N19</f>
        <v xml:space="preserve">   </v>
      </c>
      <c r="O20" s="54" t="str">
        <f>O18&amp;L18&amp;O19</f>
        <v xml:space="preserve">   </v>
      </c>
      <c r="P20" s="54" t="str">
        <f>P18&amp;L18&amp;P19</f>
        <v xml:space="preserve">   </v>
      </c>
      <c r="Q20" s="54" t="str">
        <f>Q18&amp;L18&amp;Q19</f>
        <v xml:space="preserve">  </v>
      </c>
    </row>
    <row r="21" spans="1:23" x14ac:dyDescent="0.2">
      <c r="A21" s="49">
        <v>16</v>
      </c>
      <c r="B21" s="49" t="s">
        <v>175</v>
      </c>
      <c r="C21" s="50">
        <f>+R21</f>
        <v>0</v>
      </c>
      <c r="D21" s="50"/>
      <c r="E21" s="50"/>
      <c r="F21" s="50"/>
      <c r="G21" s="50"/>
      <c r="H21" s="50" t="s">
        <v>150</v>
      </c>
      <c r="I21" s="50"/>
      <c r="J21" s="50"/>
      <c r="K21" s="50"/>
      <c r="L21" s="50"/>
      <c r="M21" s="50"/>
      <c r="N21" s="51" t="s">
        <v>151</v>
      </c>
      <c r="O21" s="50"/>
      <c r="P21" s="51" t="s">
        <v>152</v>
      </c>
      <c r="Q21" s="50"/>
      <c r="U21" s="55" t="s">
        <v>151</v>
      </c>
      <c r="V21" s="58">
        <f>+form16!B97</f>
        <v>0</v>
      </c>
      <c r="W21" s="56" t="s">
        <v>260</v>
      </c>
    </row>
    <row r="22" spans="1:23" hidden="1" x14ac:dyDescent="0.2">
      <c r="A22" s="49">
        <v>17</v>
      </c>
      <c r="B22" s="49" t="s">
        <v>176</v>
      </c>
      <c r="C22" s="50">
        <f>MOD(C21,100000)</f>
        <v>0</v>
      </c>
      <c r="D22" s="52">
        <f>ROUNDDOWN((MOD(C23,10000))/1000,0)</f>
        <v>0</v>
      </c>
      <c r="E22" s="52">
        <f>ROUNDDOWN((MOD(C23,1000))/100,0)</f>
        <v>0</v>
      </c>
      <c r="F22" s="52">
        <f>ROUNDDOWN((MOD(C23,100))/10,0)</f>
        <v>0</v>
      </c>
      <c r="G22" s="52">
        <f>MOD(C23,10)</f>
        <v>0</v>
      </c>
      <c r="H22" s="52">
        <f>ROUNDDOWN((MOD(C21,100000))/10000,0)</f>
        <v>0</v>
      </c>
      <c r="I22" s="52">
        <f>ROUNDDOWN((MOD(C21,10000))/1000,0)</f>
        <v>0</v>
      </c>
      <c r="J22" s="52">
        <f>ROUNDDOWN((MOD(C21,1000))/100,0)</f>
        <v>0</v>
      </c>
      <c r="K22" s="52">
        <f>ROUNDDOWN((MOD(C21,100))/10,0)</f>
        <v>0</v>
      </c>
      <c r="L22" s="52">
        <f>MOD(C21,10)</f>
        <v>0</v>
      </c>
      <c r="M22" s="52">
        <f>(D22*10)+E22</f>
        <v>0</v>
      </c>
      <c r="N22" s="52">
        <f>(F22*10)+G22</f>
        <v>0</v>
      </c>
      <c r="O22" s="52">
        <f>(H22*10)+I22</f>
        <v>0</v>
      </c>
      <c r="P22" s="50">
        <f>+J22</f>
        <v>0</v>
      </c>
      <c r="Q22" s="50">
        <f>K22*10+L22</f>
        <v>0</v>
      </c>
    </row>
    <row r="23" spans="1:23" hidden="1" x14ac:dyDescent="0.2">
      <c r="A23" s="49">
        <v>18</v>
      </c>
      <c r="B23" s="49" t="s">
        <v>177</v>
      </c>
      <c r="C23" s="50">
        <f>(C21-C22)/100000</f>
        <v>0</v>
      </c>
      <c r="D23" s="50"/>
      <c r="E23" s="50"/>
      <c r="F23" s="50"/>
      <c r="G23" s="50"/>
      <c r="H23" s="50"/>
      <c r="I23" s="50"/>
      <c r="J23" s="50"/>
      <c r="K23" s="50"/>
      <c r="L23" s="51" t="s">
        <v>157</v>
      </c>
      <c r="M23" s="50" t="str">
        <f>VLOOKUP(M22,$A$5:$B$104,2)</f>
        <v xml:space="preserve"> </v>
      </c>
      <c r="N23" s="50" t="str">
        <f>VLOOKUP(N22,$A$5:$B$104,2)</f>
        <v xml:space="preserve"> </v>
      </c>
      <c r="O23" s="50" t="str">
        <f>VLOOKUP(O22,$A$5:$B$104,2)</f>
        <v xml:space="preserve"> </v>
      </c>
      <c r="P23" s="50" t="str">
        <f>VLOOKUP(P22,$A$5:$B$104,2)</f>
        <v xml:space="preserve"> </v>
      </c>
      <c r="Q23" s="50" t="str">
        <f>VLOOKUP(Q22,$A$5:$B$104,2)</f>
        <v xml:space="preserve"> </v>
      </c>
    </row>
    <row r="24" spans="1:23" hidden="1" x14ac:dyDescent="0.2">
      <c r="A24" s="49">
        <v>19</v>
      </c>
      <c r="B24" s="49" t="s">
        <v>178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 t="str">
        <f>IF(M22&gt;=1,$B$4,$B$5)</f>
        <v xml:space="preserve"> </v>
      </c>
      <c r="N24" s="50" t="str">
        <f>IF(N22&gt;=1,$B$3,$B$5)</f>
        <v xml:space="preserve"> </v>
      </c>
      <c r="O24" s="50" t="str">
        <f>IF(O22&gt;=1,$B$1,$B$5)</f>
        <v xml:space="preserve"> </v>
      </c>
      <c r="P24" s="50" t="str">
        <f>IF(P22&gt;=1,$B$2,$B$5)</f>
        <v xml:space="preserve"> </v>
      </c>
      <c r="Q24" s="50"/>
    </row>
    <row r="25" spans="1:23" ht="15.75" hidden="1" x14ac:dyDescent="0.25">
      <c r="A25" s="49">
        <v>20</v>
      </c>
      <c r="B25" s="49" t="s">
        <v>179</v>
      </c>
      <c r="C25" s="53" t="str">
        <f>TRIM(N21&amp;M25&amp;N25&amp;O25&amp;P25&amp;Q25&amp;P21)</f>
        <v>Rs Only</v>
      </c>
      <c r="D25" s="50"/>
      <c r="E25" s="50"/>
      <c r="F25" s="50"/>
      <c r="G25" s="50"/>
      <c r="H25" s="50"/>
      <c r="I25" s="50"/>
      <c r="J25" s="50"/>
      <c r="K25" s="50"/>
      <c r="L25" s="50"/>
      <c r="M25" s="54" t="str">
        <f>M23&amp;L23&amp;M24</f>
        <v xml:space="preserve">   </v>
      </c>
      <c r="N25" s="54" t="str">
        <f>N23&amp;L23&amp;N24</f>
        <v xml:space="preserve">   </v>
      </c>
      <c r="O25" s="54" t="str">
        <f>O23&amp;L23&amp;O24</f>
        <v xml:space="preserve">   </v>
      </c>
      <c r="P25" s="54" t="str">
        <f>P23&amp;L23&amp;P24</f>
        <v xml:space="preserve">   </v>
      </c>
      <c r="Q25" s="54" t="str">
        <f>Q23&amp;L23&amp;Q24</f>
        <v xml:space="preserve">  </v>
      </c>
    </row>
    <row r="26" spans="1:23" x14ac:dyDescent="0.2">
      <c r="A26" s="49">
        <v>21</v>
      </c>
      <c r="B26" s="49" t="s">
        <v>180</v>
      </c>
      <c r="C26" s="50">
        <f>+R26</f>
        <v>0</v>
      </c>
      <c r="D26" s="50"/>
      <c r="E26" s="50"/>
      <c r="F26" s="50"/>
      <c r="G26" s="50"/>
      <c r="H26" s="50" t="s">
        <v>150</v>
      </c>
      <c r="I26" s="50"/>
      <c r="J26" s="50"/>
      <c r="K26" s="50"/>
      <c r="L26" s="50"/>
      <c r="M26" s="50"/>
      <c r="N26" s="51" t="s">
        <v>151</v>
      </c>
      <c r="O26" s="50"/>
      <c r="P26" s="51" t="s">
        <v>152</v>
      </c>
      <c r="Q26" s="50"/>
    </row>
    <row r="27" spans="1:23" hidden="1" x14ac:dyDescent="0.2">
      <c r="A27" s="49">
        <v>22</v>
      </c>
      <c r="B27" s="49" t="s">
        <v>181</v>
      </c>
      <c r="C27" s="50">
        <f>MOD(C26,100000)</f>
        <v>0</v>
      </c>
      <c r="D27" s="52">
        <f>ROUNDDOWN((MOD(C28,10000))/1000,0)</f>
        <v>0</v>
      </c>
      <c r="E27" s="52">
        <f>ROUNDDOWN((MOD(C28,1000))/100,0)</f>
        <v>0</v>
      </c>
      <c r="F27" s="52">
        <f>ROUNDDOWN((MOD(C28,100))/10,0)</f>
        <v>0</v>
      </c>
      <c r="G27" s="52">
        <f>MOD(C28,10)</f>
        <v>0</v>
      </c>
      <c r="H27" s="52">
        <f>ROUNDDOWN((MOD(C26,100000))/10000,0)</f>
        <v>0</v>
      </c>
      <c r="I27" s="52">
        <f>ROUNDDOWN((MOD(C26,10000))/1000,0)</f>
        <v>0</v>
      </c>
      <c r="J27" s="52">
        <f>ROUNDDOWN((MOD(C26,1000))/100,0)</f>
        <v>0</v>
      </c>
      <c r="K27" s="52">
        <f>ROUNDDOWN((MOD(C26,100))/10,0)</f>
        <v>0</v>
      </c>
      <c r="L27" s="52">
        <f>MOD(C26,10)</f>
        <v>0</v>
      </c>
      <c r="M27" s="52">
        <f>(D27*10)+E27</f>
        <v>0</v>
      </c>
      <c r="N27" s="52">
        <f>(F27*10)+G27</f>
        <v>0</v>
      </c>
      <c r="O27" s="52">
        <f>(H27*10)+I27</f>
        <v>0</v>
      </c>
      <c r="P27" s="50">
        <f>+J27</f>
        <v>0</v>
      </c>
      <c r="Q27" s="50">
        <f>K27*10+L27</f>
        <v>0</v>
      </c>
    </row>
    <row r="28" spans="1:23" hidden="1" x14ac:dyDescent="0.2">
      <c r="A28" s="49">
        <v>23</v>
      </c>
      <c r="B28" s="49" t="s">
        <v>182</v>
      </c>
      <c r="C28" s="50">
        <f>(C26-C27)/100000</f>
        <v>0</v>
      </c>
      <c r="D28" s="50"/>
      <c r="E28" s="50"/>
      <c r="F28" s="50"/>
      <c r="G28" s="50"/>
      <c r="H28" s="50"/>
      <c r="I28" s="50"/>
      <c r="J28" s="50"/>
      <c r="K28" s="50"/>
      <c r="L28" s="51" t="s">
        <v>157</v>
      </c>
      <c r="M28" s="50" t="str">
        <f>VLOOKUP(M27,$A$5:$B$104,2)</f>
        <v xml:space="preserve"> </v>
      </c>
      <c r="N28" s="50" t="str">
        <f>VLOOKUP(N27,$A$5:$B$104,2)</f>
        <v xml:space="preserve"> </v>
      </c>
      <c r="O28" s="50" t="str">
        <f>VLOOKUP(O27,$A$5:$B$104,2)</f>
        <v xml:space="preserve"> </v>
      </c>
      <c r="P28" s="50" t="str">
        <f>VLOOKUP(P27,$A$5:$B$104,2)</f>
        <v xml:space="preserve"> </v>
      </c>
      <c r="Q28" s="50" t="str">
        <f>VLOOKUP(Q27,$A$5:$B$104,2)</f>
        <v xml:space="preserve"> </v>
      </c>
    </row>
    <row r="29" spans="1:23" hidden="1" x14ac:dyDescent="0.2">
      <c r="A29" s="49">
        <v>24</v>
      </c>
      <c r="B29" s="49" t="s">
        <v>183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 t="str">
        <f>IF(M27&gt;=1,$B$4,$B$5)</f>
        <v xml:space="preserve"> </v>
      </c>
      <c r="N29" s="50" t="str">
        <f>IF(N27&gt;=1,$B$3,$B$5)</f>
        <v xml:space="preserve"> </v>
      </c>
      <c r="O29" s="50" t="str">
        <f>IF(O27&gt;=1,$B$1,$B$5)</f>
        <v xml:space="preserve"> </v>
      </c>
      <c r="P29" s="50" t="str">
        <f>IF(P27&gt;=1,$B$2,$B$5)</f>
        <v xml:space="preserve"> </v>
      </c>
      <c r="Q29" s="50"/>
    </row>
    <row r="30" spans="1:23" ht="15.75" hidden="1" x14ac:dyDescent="0.25">
      <c r="A30" s="49">
        <v>25</v>
      </c>
      <c r="B30" s="49" t="s">
        <v>184</v>
      </c>
      <c r="C30" s="53" t="str">
        <f>TRIM(N26&amp;M30&amp;N30&amp;O30&amp;P30&amp;Q30&amp;P26)</f>
        <v>Rs Only</v>
      </c>
      <c r="D30" s="50"/>
      <c r="E30" s="50"/>
      <c r="F30" s="50"/>
      <c r="G30" s="50"/>
      <c r="H30" s="50"/>
      <c r="I30" s="50"/>
      <c r="J30" s="50"/>
      <c r="K30" s="50"/>
      <c r="L30" s="50"/>
      <c r="M30" s="54" t="str">
        <f>M28&amp;L28&amp;M29</f>
        <v xml:space="preserve">   </v>
      </c>
      <c r="N30" s="54" t="str">
        <f>N28&amp;L28&amp;N29</f>
        <v xml:space="preserve">   </v>
      </c>
      <c r="O30" s="54" t="str">
        <f>O28&amp;L28&amp;O29</f>
        <v xml:space="preserve">   </v>
      </c>
      <c r="P30" s="54" t="str">
        <f>P28&amp;L28&amp;P29</f>
        <v xml:space="preserve">   </v>
      </c>
      <c r="Q30" s="54" t="str">
        <f>Q28&amp;L28&amp;Q29</f>
        <v xml:space="preserve">  </v>
      </c>
    </row>
    <row r="31" spans="1:23" x14ac:dyDescent="0.2">
      <c r="A31" s="49">
        <v>26</v>
      </c>
      <c r="B31" s="49" t="s">
        <v>185</v>
      </c>
      <c r="C31" s="50">
        <f>+R31</f>
        <v>0</v>
      </c>
      <c r="D31" s="50"/>
      <c r="E31" s="50"/>
      <c r="F31" s="50"/>
      <c r="G31" s="50"/>
      <c r="H31" s="50" t="s">
        <v>150</v>
      </c>
      <c r="I31" s="50"/>
      <c r="J31" s="50"/>
      <c r="K31" s="50"/>
      <c r="L31" s="50"/>
      <c r="M31" s="50"/>
      <c r="N31" s="51" t="s">
        <v>151</v>
      </c>
      <c r="O31" s="50"/>
      <c r="P31" s="51" t="s">
        <v>152</v>
      </c>
      <c r="Q31" s="50"/>
      <c r="U31" s="49" t="str">
        <f>+U21&amp;V21&amp;W21&amp;S1</f>
        <v>Rs 0 /-  In Word Rs Only</v>
      </c>
    </row>
    <row r="32" spans="1:23" hidden="1" x14ac:dyDescent="0.2">
      <c r="A32" s="49">
        <v>27</v>
      </c>
      <c r="B32" s="49" t="s">
        <v>186</v>
      </c>
      <c r="C32" s="50">
        <f>MOD(C31,100000)</f>
        <v>0</v>
      </c>
      <c r="D32" s="52">
        <f>ROUNDDOWN((MOD(C33,10000))/1000,0)</f>
        <v>0</v>
      </c>
      <c r="E32" s="52">
        <f>ROUNDDOWN((MOD(C33,1000))/100,0)</f>
        <v>0</v>
      </c>
      <c r="F32" s="52">
        <f>ROUNDDOWN((MOD(C33,100))/10,0)</f>
        <v>0</v>
      </c>
      <c r="G32" s="52">
        <f>MOD(C33,10)</f>
        <v>0</v>
      </c>
      <c r="H32" s="52">
        <f>ROUNDDOWN((MOD(C31,100000))/10000,0)</f>
        <v>0</v>
      </c>
      <c r="I32" s="52">
        <f>ROUNDDOWN((MOD(C31,10000))/1000,0)</f>
        <v>0</v>
      </c>
      <c r="J32" s="52">
        <f>ROUNDDOWN((MOD(C31,1000))/100,0)</f>
        <v>0</v>
      </c>
      <c r="K32" s="52">
        <f>ROUNDDOWN((MOD(C31,100))/10,0)</f>
        <v>0</v>
      </c>
      <c r="L32" s="52">
        <f>MOD(C31,10)</f>
        <v>0</v>
      </c>
      <c r="M32" s="52">
        <f>(D32*10)+E32</f>
        <v>0</v>
      </c>
      <c r="N32" s="52">
        <f>(F32*10)+G32</f>
        <v>0</v>
      </c>
      <c r="O32" s="52">
        <f>(H32*10)+I32</f>
        <v>0</v>
      </c>
      <c r="P32" s="50">
        <f>+J32</f>
        <v>0</v>
      </c>
      <c r="Q32" s="50">
        <f>K32*10+L32</f>
        <v>0</v>
      </c>
    </row>
    <row r="33" spans="1:17" hidden="1" x14ac:dyDescent="0.2">
      <c r="A33" s="49">
        <v>28</v>
      </c>
      <c r="B33" s="49" t="s">
        <v>187</v>
      </c>
      <c r="C33" s="50">
        <f>(C31-C32)/100000</f>
        <v>0</v>
      </c>
      <c r="D33" s="50"/>
      <c r="E33" s="50"/>
      <c r="F33" s="50"/>
      <c r="G33" s="50"/>
      <c r="H33" s="50"/>
      <c r="I33" s="50"/>
      <c r="J33" s="50"/>
      <c r="K33" s="50"/>
      <c r="L33" s="51" t="s">
        <v>157</v>
      </c>
      <c r="M33" s="50" t="str">
        <f>VLOOKUP(M32,$A$5:$B$104,2)</f>
        <v xml:space="preserve"> </v>
      </c>
      <c r="N33" s="50" t="str">
        <f>VLOOKUP(N32,$A$5:$B$104,2)</f>
        <v xml:space="preserve"> </v>
      </c>
      <c r="O33" s="50" t="str">
        <f>VLOOKUP(O32,$A$5:$B$104,2)</f>
        <v xml:space="preserve"> </v>
      </c>
      <c r="P33" s="50" t="str">
        <f>VLOOKUP(P32,$A$5:$B$104,2)</f>
        <v xml:space="preserve"> </v>
      </c>
      <c r="Q33" s="50" t="str">
        <f>VLOOKUP(Q32,$A$5:$B$104,2)</f>
        <v xml:space="preserve"> </v>
      </c>
    </row>
    <row r="34" spans="1:17" hidden="1" x14ac:dyDescent="0.2">
      <c r="A34" s="49">
        <v>29</v>
      </c>
      <c r="B34" s="49" t="s">
        <v>188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 t="str">
        <f>IF(M32&gt;=1,$B$4,$B$5)</f>
        <v xml:space="preserve"> </v>
      </c>
      <c r="N34" s="50" t="str">
        <f>IF(N32&gt;=1,$B$3,$B$5)</f>
        <v xml:space="preserve"> </v>
      </c>
      <c r="O34" s="50" t="str">
        <f>IF(O32&gt;=1,$B$1,$B$5)</f>
        <v xml:space="preserve"> </v>
      </c>
      <c r="P34" s="50" t="str">
        <f>IF(P32&gt;=1,$B$2,$B$5)</f>
        <v xml:space="preserve"> </v>
      </c>
      <c r="Q34" s="50"/>
    </row>
    <row r="35" spans="1:17" ht="15.75" hidden="1" x14ac:dyDescent="0.25">
      <c r="A35" s="49">
        <v>30</v>
      </c>
      <c r="B35" s="49" t="s">
        <v>189</v>
      </c>
      <c r="C35" s="53" t="str">
        <f>TRIM(N31&amp;M35&amp;N35&amp;O35&amp;P35&amp;Q35&amp;P31)</f>
        <v>Rs Only</v>
      </c>
      <c r="D35" s="50"/>
      <c r="E35" s="50"/>
      <c r="F35" s="50"/>
      <c r="G35" s="50"/>
      <c r="H35" s="50"/>
      <c r="I35" s="50"/>
      <c r="J35" s="50"/>
      <c r="K35" s="50"/>
      <c r="L35" s="50"/>
      <c r="M35" s="54" t="str">
        <f>M33&amp;L33&amp;M34</f>
        <v xml:space="preserve">   </v>
      </c>
      <c r="N35" s="54" t="str">
        <f>N33&amp;L33&amp;N34</f>
        <v xml:space="preserve">   </v>
      </c>
      <c r="O35" s="54" t="str">
        <f>O33&amp;L33&amp;O34</f>
        <v xml:space="preserve">   </v>
      </c>
      <c r="P35" s="54" t="str">
        <f>P33&amp;L33&amp;P34</f>
        <v xml:space="preserve">   </v>
      </c>
      <c r="Q35" s="54" t="str">
        <f>Q33&amp;L33&amp;Q34</f>
        <v xml:space="preserve">  </v>
      </c>
    </row>
    <row r="36" spans="1:17" x14ac:dyDescent="0.2">
      <c r="A36" s="49">
        <v>31</v>
      </c>
      <c r="B36" s="49" t="s">
        <v>190</v>
      </c>
      <c r="C36" s="50">
        <f>+R36</f>
        <v>0</v>
      </c>
      <c r="D36" s="50"/>
      <c r="E36" s="50"/>
      <c r="F36" s="50"/>
      <c r="G36" s="50"/>
      <c r="H36" s="50" t="s">
        <v>150</v>
      </c>
      <c r="I36" s="50"/>
      <c r="J36" s="50"/>
      <c r="K36" s="50"/>
      <c r="L36" s="50"/>
      <c r="M36" s="50"/>
      <c r="N36" s="51" t="s">
        <v>151</v>
      </c>
      <c r="O36" s="50"/>
      <c r="P36" s="51" t="s">
        <v>152</v>
      </c>
      <c r="Q36" s="50"/>
    </row>
    <row r="37" spans="1:17" hidden="1" x14ac:dyDescent="0.2">
      <c r="A37" s="49">
        <v>32</v>
      </c>
      <c r="B37" s="49" t="s">
        <v>191</v>
      </c>
      <c r="C37" s="50">
        <f>MOD(C36,100000)</f>
        <v>0</v>
      </c>
      <c r="D37" s="52">
        <f>ROUNDDOWN((MOD(C38,10000))/1000,0)</f>
        <v>0</v>
      </c>
      <c r="E37" s="52">
        <f>ROUNDDOWN((MOD(C38,1000))/100,0)</f>
        <v>0</v>
      </c>
      <c r="F37" s="52">
        <f>ROUNDDOWN((MOD(C38,100))/10,0)</f>
        <v>0</v>
      </c>
      <c r="G37" s="52">
        <f>MOD(C38,10)</f>
        <v>0</v>
      </c>
      <c r="H37" s="52">
        <f>ROUNDDOWN((MOD(C36,100000))/10000,0)</f>
        <v>0</v>
      </c>
      <c r="I37" s="52">
        <f>ROUNDDOWN((MOD(C36,10000))/1000,0)</f>
        <v>0</v>
      </c>
      <c r="J37" s="52">
        <f>ROUNDDOWN((MOD(C36,1000))/100,0)</f>
        <v>0</v>
      </c>
      <c r="K37" s="52">
        <f>ROUNDDOWN((MOD(C36,100))/10,0)</f>
        <v>0</v>
      </c>
      <c r="L37" s="52">
        <f>MOD(C36,10)</f>
        <v>0</v>
      </c>
      <c r="M37" s="52">
        <f>(D37*10)+E37</f>
        <v>0</v>
      </c>
      <c r="N37" s="52">
        <f>(F37*10)+G37</f>
        <v>0</v>
      </c>
      <c r="O37" s="52">
        <f>(H37*10)+I37</f>
        <v>0</v>
      </c>
      <c r="P37" s="50">
        <f>+J37</f>
        <v>0</v>
      </c>
      <c r="Q37" s="50">
        <f>K37*10+L37</f>
        <v>0</v>
      </c>
    </row>
    <row r="38" spans="1:17" hidden="1" x14ac:dyDescent="0.2">
      <c r="A38" s="49">
        <v>33</v>
      </c>
      <c r="B38" s="49" t="s">
        <v>192</v>
      </c>
      <c r="C38" s="50">
        <f>(C36-C37)/100000</f>
        <v>0</v>
      </c>
      <c r="D38" s="50"/>
      <c r="E38" s="50"/>
      <c r="F38" s="50"/>
      <c r="G38" s="50"/>
      <c r="H38" s="50"/>
      <c r="I38" s="50"/>
      <c r="J38" s="50"/>
      <c r="K38" s="50"/>
      <c r="L38" s="51" t="s">
        <v>157</v>
      </c>
      <c r="M38" s="50" t="str">
        <f>VLOOKUP(M37,$A$5:$B$104,2)</f>
        <v xml:space="preserve"> </v>
      </c>
      <c r="N38" s="50" t="str">
        <f>VLOOKUP(N37,$A$5:$B$104,2)</f>
        <v xml:space="preserve"> </v>
      </c>
      <c r="O38" s="50" t="str">
        <f>VLOOKUP(O37,$A$5:$B$104,2)</f>
        <v xml:space="preserve"> </v>
      </c>
      <c r="P38" s="50" t="str">
        <f>VLOOKUP(P37,$A$5:$B$104,2)</f>
        <v xml:space="preserve"> </v>
      </c>
      <c r="Q38" s="50" t="str">
        <f>VLOOKUP(Q37,$A$5:$B$104,2)</f>
        <v xml:space="preserve"> </v>
      </c>
    </row>
    <row r="39" spans="1:17" hidden="1" x14ac:dyDescent="0.2">
      <c r="A39" s="49">
        <v>34</v>
      </c>
      <c r="B39" s="49" t="s">
        <v>193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 t="str">
        <f>IF(M37&gt;=1,$B$4,$B$5)</f>
        <v xml:space="preserve"> </v>
      </c>
      <c r="N39" s="50" t="str">
        <f>IF(N37&gt;=1,$B$3,$B$5)</f>
        <v xml:space="preserve"> </v>
      </c>
      <c r="O39" s="50" t="str">
        <f>IF(O37&gt;=1,$B$1,$B$5)</f>
        <v xml:space="preserve"> </v>
      </c>
      <c r="P39" s="50" t="str">
        <f>IF(P37&gt;=1,$B$2,$B$5)</f>
        <v xml:space="preserve"> </v>
      </c>
      <c r="Q39" s="50"/>
    </row>
    <row r="40" spans="1:17" ht="15.75" hidden="1" x14ac:dyDescent="0.25">
      <c r="A40" s="49">
        <v>35</v>
      </c>
      <c r="B40" s="49" t="s">
        <v>194</v>
      </c>
      <c r="C40" s="53" t="str">
        <f>TRIM(N36&amp;M40&amp;N40&amp;O40&amp;P40&amp;Q40&amp;P36)</f>
        <v>Rs Only</v>
      </c>
      <c r="D40" s="50"/>
      <c r="E40" s="50"/>
      <c r="F40" s="50"/>
      <c r="G40" s="50"/>
      <c r="H40" s="50"/>
      <c r="I40" s="50"/>
      <c r="J40" s="50"/>
      <c r="K40" s="50"/>
      <c r="L40" s="50"/>
      <c r="M40" s="54" t="str">
        <f>M38&amp;L38&amp;M39</f>
        <v xml:space="preserve">   </v>
      </c>
      <c r="N40" s="54" t="str">
        <f>N38&amp;L38&amp;N39</f>
        <v xml:space="preserve">   </v>
      </c>
      <c r="O40" s="54" t="str">
        <f>O38&amp;L38&amp;O39</f>
        <v xml:space="preserve">   </v>
      </c>
      <c r="P40" s="54" t="str">
        <f>P38&amp;L38&amp;P39</f>
        <v xml:space="preserve">   </v>
      </c>
      <c r="Q40" s="54" t="str">
        <f>Q38&amp;L38&amp;Q39</f>
        <v xml:space="preserve">  </v>
      </c>
    </row>
    <row r="41" spans="1:17" x14ac:dyDescent="0.2">
      <c r="A41" s="49">
        <v>36</v>
      </c>
      <c r="B41" s="49" t="s">
        <v>195</v>
      </c>
      <c r="C41" s="50">
        <f>+R41</f>
        <v>0</v>
      </c>
      <c r="D41" s="50"/>
      <c r="E41" s="50"/>
      <c r="F41" s="50"/>
      <c r="G41" s="50"/>
      <c r="H41" s="50" t="s">
        <v>150</v>
      </c>
      <c r="I41" s="50"/>
      <c r="J41" s="50"/>
      <c r="K41" s="50"/>
      <c r="L41" s="50"/>
      <c r="M41" s="50"/>
      <c r="N41" s="51" t="s">
        <v>151</v>
      </c>
      <c r="O41" s="50"/>
      <c r="P41" s="51" t="s">
        <v>152</v>
      </c>
      <c r="Q41" s="50"/>
    </row>
    <row r="42" spans="1:17" hidden="1" x14ac:dyDescent="0.2">
      <c r="A42" s="49">
        <v>37</v>
      </c>
      <c r="B42" s="49" t="s">
        <v>196</v>
      </c>
      <c r="C42" s="50">
        <f>MOD(C41,100000)</f>
        <v>0</v>
      </c>
      <c r="D42" s="52">
        <f>ROUNDDOWN((MOD(C43,10000))/1000,0)</f>
        <v>0</v>
      </c>
      <c r="E42" s="52">
        <f>ROUNDDOWN((MOD(C43,1000))/100,0)</f>
        <v>0</v>
      </c>
      <c r="F42" s="52">
        <f>ROUNDDOWN((MOD(C43,100))/10,0)</f>
        <v>0</v>
      </c>
      <c r="G42" s="52">
        <f>MOD(C43,10)</f>
        <v>0</v>
      </c>
      <c r="H42" s="52">
        <f>ROUNDDOWN((MOD(C41,100000))/10000,0)</f>
        <v>0</v>
      </c>
      <c r="I42" s="52">
        <f>ROUNDDOWN((MOD(C41,10000))/1000,0)</f>
        <v>0</v>
      </c>
      <c r="J42" s="52">
        <f>ROUNDDOWN((MOD(C41,1000))/100,0)</f>
        <v>0</v>
      </c>
      <c r="K42" s="52">
        <f>ROUNDDOWN((MOD(C41,100))/10,0)</f>
        <v>0</v>
      </c>
      <c r="L42" s="52">
        <f>MOD(C41,10)</f>
        <v>0</v>
      </c>
      <c r="M42" s="52">
        <f>(D42*10)+E42</f>
        <v>0</v>
      </c>
      <c r="N42" s="52">
        <f>(F42*10)+G42</f>
        <v>0</v>
      </c>
      <c r="O42" s="52">
        <f>(H42*10)+I42</f>
        <v>0</v>
      </c>
      <c r="P42" s="50">
        <f>+J42</f>
        <v>0</v>
      </c>
      <c r="Q42" s="50">
        <f>K42*10+L42</f>
        <v>0</v>
      </c>
    </row>
    <row r="43" spans="1:17" hidden="1" x14ac:dyDescent="0.2">
      <c r="A43" s="49">
        <v>38</v>
      </c>
      <c r="B43" s="49" t="s">
        <v>197</v>
      </c>
      <c r="C43" s="50">
        <f>(C41-C42)/100000</f>
        <v>0</v>
      </c>
      <c r="D43" s="50"/>
      <c r="E43" s="50"/>
      <c r="F43" s="50"/>
      <c r="G43" s="50"/>
      <c r="H43" s="50"/>
      <c r="I43" s="50"/>
      <c r="J43" s="50"/>
      <c r="K43" s="50"/>
      <c r="L43" s="51" t="s">
        <v>157</v>
      </c>
      <c r="M43" s="50" t="str">
        <f>VLOOKUP(M42,$A$5:$B$104,2)</f>
        <v xml:space="preserve"> </v>
      </c>
      <c r="N43" s="50" t="str">
        <f>VLOOKUP(N42,$A$5:$B$104,2)</f>
        <v xml:space="preserve"> </v>
      </c>
      <c r="O43" s="50" t="str">
        <f>VLOOKUP(O42,$A$5:$B$104,2)</f>
        <v xml:space="preserve"> </v>
      </c>
      <c r="P43" s="50" t="str">
        <f>VLOOKUP(P42,$A$5:$B$104,2)</f>
        <v xml:space="preserve"> </v>
      </c>
      <c r="Q43" s="50" t="str">
        <f>VLOOKUP(Q42,$A$5:$B$104,2)</f>
        <v xml:space="preserve"> </v>
      </c>
    </row>
    <row r="44" spans="1:17" hidden="1" x14ac:dyDescent="0.2">
      <c r="A44" s="49">
        <v>39</v>
      </c>
      <c r="B44" s="49" t="s">
        <v>198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 t="str">
        <f>IF(M42&gt;=1,$B$4,$B$5)</f>
        <v xml:space="preserve"> </v>
      </c>
      <c r="N44" s="50" t="str">
        <f>IF(N42&gt;=1,$B$3,$B$5)</f>
        <v xml:space="preserve"> </v>
      </c>
      <c r="O44" s="50" t="str">
        <f>IF(O42&gt;=1,$B$1,$B$5)</f>
        <v xml:space="preserve"> </v>
      </c>
      <c r="P44" s="50" t="str">
        <f>IF(P42&gt;=1,$B$2,$B$5)</f>
        <v xml:space="preserve"> </v>
      </c>
      <c r="Q44" s="50"/>
    </row>
    <row r="45" spans="1:17" ht="15.75" hidden="1" x14ac:dyDescent="0.25">
      <c r="A45" s="49">
        <v>40</v>
      </c>
      <c r="B45" s="49" t="s">
        <v>199</v>
      </c>
      <c r="C45" s="53" t="str">
        <f>TRIM(N41&amp;M45&amp;N45&amp;O45&amp;P45&amp;Q45&amp;P41)</f>
        <v>Rs Only</v>
      </c>
      <c r="D45" s="50"/>
      <c r="E45" s="50"/>
      <c r="F45" s="50"/>
      <c r="G45" s="50"/>
      <c r="H45" s="50"/>
      <c r="I45" s="50"/>
      <c r="J45" s="50"/>
      <c r="K45" s="50"/>
      <c r="L45" s="50"/>
      <c r="M45" s="54" t="str">
        <f>M43&amp;L43&amp;M44</f>
        <v xml:space="preserve">   </v>
      </c>
      <c r="N45" s="54" t="str">
        <f>N43&amp;L43&amp;N44</f>
        <v xml:space="preserve">   </v>
      </c>
      <c r="O45" s="54" t="str">
        <f>O43&amp;L43&amp;O44</f>
        <v xml:space="preserve">   </v>
      </c>
      <c r="P45" s="54" t="str">
        <f>P43&amp;L43&amp;P44</f>
        <v xml:space="preserve">   </v>
      </c>
      <c r="Q45" s="54" t="str">
        <f>Q43&amp;L43&amp;Q44</f>
        <v xml:space="preserve">  </v>
      </c>
    </row>
    <row r="46" spans="1:17" x14ac:dyDescent="0.2">
      <c r="A46" s="49">
        <v>41</v>
      </c>
      <c r="B46" s="49" t="s">
        <v>200</v>
      </c>
      <c r="C46" s="50">
        <f>+R46</f>
        <v>0</v>
      </c>
      <c r="D46" s="50"/>
      <c r="E46" s="50"/>
      <c r="F46" s="50"/>
      <c r="G46" s="50"/>
      <c r="H46" s="50" t="s">
        <v>150</v>
      </c>
      <c r="I46" s="50"/>
      <c r="J46" s="50"/>
      <c r="K46" s="50"/>
      <c r="L46" s="50"/>
      <c r="M46" s="50"/>
      <c r="N46" s="51" t="s">
        <v>151</v>
      </c>
      <c r="O46" s="50"/>
      <c r="P46" s="51" t="s">
        <v>152</v>
      </c>
      <c r="Q46" s="50"/>
    </row>
    <row r="47" spans="1:17" hidden="1" x14ac:dyDescent="0.2">
      <c r="A47" s="49">
        <v>42</v>
      </c>
      <c r="B47" s="49" t="s">
        <v>201</v>
      </c>
      <c r="C47" s="50">
        <f>MOD(C46,100000)</f>
        <v>0</v>
      </c>
      <c r="D47" s="52">
        <f>ROUNDDOWN((MOD(C48,10000))/1000,0)</f>
        <v>0</v>
      </c>
      <c r="E47" s="52">
        <f>ROUNDDOWN((MOD(C48,1000))/100,0)</f>
        <v>0</v>
      </c>
      <c r="F47" s="52">
        <f>ROUNDDOWN((MOD(C48,100))/10,0)</f>
        <v>0</v>
      </c>
      <c r="G47" s="52">
        <f>MOD(C48,10)</f>
        <v>0</v>
      </c>
      <c r="H47" s="52">
        <f>ROUNDDOWN((MOD(C46,100000))/10000,0)</f>
        <v>0</v>
      </c>
      <c r="I47" s="52">
        <f>ROUNDDOWN((MOD(C46,10000))/1000,0)</f>
        <v>0</v>
      </c>
      <c r="J47" s="52">
        <f>ROUNDDOWN((MOD(C46,1000))/100,0)</f>
        <v>0</v>
      </c>
      <c r="K47" s="52">
        <f>ROUNDDOWN((MOD(C46,100))/10,0)</f>
        <v>0</v>
      </c>
      <c r="L47" s="52">
        <f>MOD(C46,10)</f>
        <v>0</v>
      </c>
      <c r="M47" s="52">
        <f>(D47*10)+E47</f>
        <v>0</v>
      </c>
      <c r="N47" s="52">
        <f>(F47*10)+G47</f>
        <v>0</v>
      </c>
      <c r="O47" s="52">
        <f>(H47*10)+I47</f>
        <v>0</v>
      </c>
      <c r="P47" s="50">
        <f>+J47</f>
        <v>0</v>
      </c>
      <c r="Q47" s="50">
        <f>K47*10+L47</f>
        <v>0</v>
      </c>
    </row>
    <row r="48" spans="1:17" hidden="1" x14ac:dyDescent="0.2">
      <c r="A48" s="49">
        <v>43</v>
      </c>
      <c r="B48" s="49" t="s">
        <v>202</v>
      </c>
      <c r="C48" s="50">
        <f>(C46-C47)/100000</f>
        <v>0</v>
      </c>
      <c r="D48" s="50"/>
      <c r="E48" s="50"/>
      <c r="F48" s="50"/>
      <c r="G48" s="50"/>
      <c r="H48" s="50"/>
      <c r="I48" s="50"/>
      <c r="J48" s="50"/>
      <c r="K48" s="50"/>
      <c r="L48" s="51" t="s">
        <v>157</v>
      </c>
      <c r="M48" s="50" t="str">
        <f>VLOOKUP(M47,$A$5:$B$104,2)</f>
        <v xml:space="preserve"> </v>
      </c>
      <c r="N48" s="50" t="str">
        <f>VLOOKUP(N47,$A$5:$B$104,2)</f>
        <v xml:space="preserve"> </v>
      </c>
      <c r="O48" s="50" t="str">
        <f>VLOOKUP(O47,$A$5:$B$104,2)</f>
        <v xml:space="preserve"> </v>
      </c>
      <c r="P48" s="50" t="str">
        <f>VLOOKUP(P47,$A$5:$B$104,2)</f>
        <v xml:space="preserve"> </v>
      </c>
      <c r="Q48" s="50" t="str">
        <f>VLOOKUP(Q47,$A$5:$B$104,2)</f>
        <v xml:space="preserve"> </v>
      </c>
    </row>
    <row r="49" spans="1:17" hidden="1" x14ac:dyDescent="0.2">
      <c r="A49" s="49">
        <v>44</v>
      </c>
      <c r="B49" s="49" t="s">
        <v>203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 t="str">
        <f>IF(M47&gt;=1,$B$4,$B$5)</f>
        <v xml:space="preserve"> </v>
      </c>
      <c r="N49" s="50" t="str">
        <f>IF(N47&gt;=1,$B$3,$B$5)</f>
        <v xml:space="preserve"> </v>
      </c>
      <c r="O49" s="50" t="str">
        <f>IF(O47&gt;=1,$B$1,$B$5)</f>
        <v xml:space="preserve"> </v>
      </c>
      <c r="P49" s="50" t="str">
        <f>IF(P47&gt;=1,$B$2,$B$5)</f>
        <v xml:space="preserve"> </v>
      </c>
      <c r="Q49" s="50"/>
    </row>
    <row r="50" spans="1:17" ht="15.75" hidden="1" x14ac:dyDescent="0.25">
      <c r="A50" s="49">
        <v>45</v>
      </c>
      <c r="B50" s="49" t="s">
        <v>204</v>
      </c>
      <c r="C50" s="53" t="str">
        <f>TRIM(N46&amp;M50&amp;N50&amp;O50&amp;P50&amp;Q50&amp;P46)</f>
        <v>Rs Only</v>
      </c>
      <c r="D50" s="50"/>
      <c r="E50" s="50"/>
      <c r="F50" s="50"/>
      <c r="G50" s="50"/>
      <c r="H50" s="50"/>
      <c r="I50" s="50"/>
      <c r="J50" s="50"/>
      <c r="K50" s="50"/>
      <c r="L50" s="50"/>
      <c r="M50" s="54" t="str">
        <f>M48&amp;L48&amp;M49</f>
        <v xml:space="preserve">   </v>
      </c>
      <c r="N50" s="54" t="str">
        <f>N48&amp;L48&amp;N49</f>
        <v xml:space="preserve">   </v>
      </c>
      <c r="O50" s="54" t="str">
        <f>O48&amp;L48&amp;O49</f>
        <v xml:space="preserve">   </v>
      </c>
      <c r="P50" s="54" t="str">
        <f>P48&amp;L48&amp;P49</f>
        <v xml:space="preserve">   </v>
      </c>
      <c r="Q50" s="54" t="str">
        <f>Q48&amp;L48&amp;Q49</f>
        <v xml:space="preserve">  </v>
      </c>
    </row>
    <row r="51" spans="1:17" x14ac:dyDescent="0.2">
      <c r="A51" s="49">
        <v>46</v>
      </c>
      <c r="B51" s="49" t="s">
        <v>205</v>
      </c>
      <c r="C51" s="50">
        <f>+R51</f>
        <v>0</v>
      </c>
      <c r="D51" s="50"/>
      <c r="E51" s="50"/>
      <c r="F51" s="50"/>
      <c r="G51" s="50"/>
      <c r="H51" s="50" t="s">
        <v>150</v>
      </c>
      <c r="I51" s="50"/>
      <c r="J51" s="50"/>
      <c r="K51" s="50"/>
      <c r="L51" s="50"/>
      <c r="M51" s="50"/>
      <c r="N51" s="51" t="s">
        <v>151</v>
      </c>
      <c r="O51" s="50"/>
      <c r="P51" s="51" t="s">
        <v>152</v>
      </c>
      <c r="Q51" s="50"/>
    </row>
    <row r="52" spans="1:17" hidden="1" x14ac:dyDescent="0.2">
      <c r="A52" s="49">
        <v>47</v>
      </c>
      <c r="B52" s="49" t="s">
        <v>206</v>
      </c>
      <c r="C52" s="50">
        <f>MOD(C51,100000)</f>
        <v>0</v>
      </c>
      <c r="D52" s="52">
        <f>ROUNDDOWN((MOD(C53,10000))/1000,0)</f>
        <v>0</v>
      </c>
      <c r="E52" s="52">
        <f>ROUNDDOWN((MOD(C53,1000))/100,0)</f>
        <v>0</v>
      </c>
      <c r="F52" s="52">
        <f>ROUNDDOWN((MOD(C53,100))/10,0)</f>
        <v>0</v>
      </c>
      <c r="G52" s="52">
        <f>MOD(C53,10)</f>
        <v>0</v>
      </c>
      <c r="H52" s="52">
        <f>ROUNDDOWN((MOD(C51,100000))/10000,0)</f>
        <v>0</v>
      </c>
      <c r="I52" s="52">
        <f>ROUNDDOWN((MOD(C51,10000))/1000,0)</f>
        <v>0</v>
      </c>
      <c r="J52" s="52">
        <f>ROUNDDOWN((MOD(C51,1000))/100,0)</f>
        <v>0</v>
      </c>
      <c r="K52" s="52">
        <f>ROUNDDOWN((MOD(C51,100))/10,0)</f>
        <v>0</v>
      </c>
      <c r="L52" s="52">
        <f>MOD(C51,10)</f>
        <v>0</v>
      </c>
      <c r="M52" s="52">
        <f>(D52*10)+E52</f>
        <v>0</v>
      </c>
      <c r="N52" s="52">
        <f>(F52*10)+G52</f>
        <v>0</v>
      </c>
      <c r="O52" s="52">
        <f>(H52*10)+I52</f>
        <v>0</v>
      </c>
      <c r="P52" s="50">
        <f>+J52</f>
        <v>0</v>
      </c>
      <c r="Q52" s="50">
        <f>K52*10+L52</f>
        <v>0</v>
      </c>
    </row>
    <row r="53" spans="1:17" hidden="1" x14ac:dyDescent="0.2">
      <c r="A53" s="49">
        <v>48</v>
      </c>
      <c r="B53" s="49" t="s">
        <v>207</v>
      </c>
      <c r="C53" s="50">
        <f>(C51-C52)/100000</f>
        <v>0</v>
      </c>
      <c r="D53" s="50"/>
      <c r="E53" s="50"/>
      <c r="F53" s="50"/>
      <c r="G53" s="50"/>
      <c r="H53" s="50"/>
      <c r="I53" s="50"/>
      <c r="J53" s="50"/>
      <c r="K53" s="50"/>
      <c r="L53" s="51" t="s">
        <v>157</v>
      </c>
      <c r="M53" s="50" t="str">
        <f>VLOOKUP(M52,$A$5:$B$104,2)</f>
        <v xml:space="preserve"> </v>
      </c>
      <c r="N53" s="50" t="str">
        <f>VLOOKUP(N52,$A$5:$B$104,2)</f>
        <v xml:space="preserve"> </v>
      </c>
      <c r="O53" s="50" t="str">
        <f>VLOOKUP(O52,$A$5:$B$104,2)</f>
        <v xml:space="preserve"> </v>
      </c>
      <c r="P53" s="50" t="str">
        <f>VLOOKUP(P52,$A$5:$B$104,2)</f>
        <v xml:space="preserve"> </v>
      </c>
      <c r="Q53" s="50" t="str">
        <f>VLOOKUP(Q52,$A$5:$B$104,2)</f>
        <v xml:space="preserve"> </v>
      </c>
    </row>
    <row r="54" spans="1:17" hidden="1" x14ac:dyDescent="0.2">
      <c r="A54" s="49">
        <v>49</v>
      </c>
      <c r="B54" s="49" t="s">
        <v>208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 t="str">
        <f>IF(M52&gt;=1,$B$4,$B$5)</f>
        <v xml:space="preserve"> </v>
      </c>
      <c r="N54" s="50" t="str">
        <f>IF(N52&gt;=1,$B$3,$B$5)</f>
        <v xml:space="preserve"> </v>
      </c>
      <c r="O54" s="50" t="str">
        <f>IF(O52&gt;=1,$B$1,$B$5)</f>
        <v xml:space="preserve"> </v>
      </c>
      <c r="P54" s="50" t="str">
        <f>IF(P52&gt;=1,$B$2,$B$5)</f>
        <v xml:space="preserve"> </v>
      </c>
      <c r="Q54" s="50"/>
    </row>
    <row r="55" spans="1:17" ht="15.75" hidden="1" x14ac:dyDescent="0.25">
      <c r="A55" s="49">
        <v>50</v>
      </c>
      <c r="B55" s="49" t="s">
        <v>209</v>
      </c>
      <c r="C55" s="53" t="str">
        <f>TRIM(N51&amp;M55&amp;N55&amp;O55&amp;P55&amp;Q55&amp;P51)</f>
        <v>Rs Only</v>
      </c>
      <c r="D55" s="50"/>
      <c r="E55" s="50"/>
      <c r="F55" s="50"/>
      <c r="G55" s="50"/>
      <c r="H55" s="50"/>
      <c r="I55" s="50"/>
      <c r="J55" s="50"/>
      <c r="K55" s="50"/>
      <c r="L55" s="50"/>
      <c r="M55" s="54" t="str">
        <f>M53&amp;L53&amp;M54</f>
        <v xml:space="preserve">   </v>
      </c>
      <c r="N55" s="54" t="str">
        <f>N53&amp;L53&amp;N54</f>
        <v xml:space="preserve">   </v>
      </c>
      <c r="O55" s="54" t="str">
        <f>O53&amp;L53&amp;O54</f>
        <v xml:space="preserve">   </v>
      </c>
      <c r="P55" s="54" t="str">
        <f>P53&amp;L53&amp;P54</f>
        <v xml:space="preserve">   </v>
      </c>
      <c r="Q55" s="54" t="str">
        <f>Q53&amp;L53&amp;Q54</f>
        <v xml:space="preserve">  </v>
      </c>
    </row>
    <row r="56" spans="1:17" x14ac:dyDescent="0.2">
      <c r="A56" s="49">
        <v>51</v>
      </c>
      <c r="B56" s="49" t="s">
        <v>210</v>
      </c>
      <c r="C56" s="50">
        <f>+R56</f>
        <v>0</v>
      </c>
      <c r="D56" s="50"/>
      <c r="E56" s="50"/>
      <c r="F56" s="50"/>
      <c r="G56" s="50"/>
      <c r="H56" s="50" t="s">
        <v>150</v>
      </c>
      <c r="I56" s="50"/>
      <c r="J56" s="50"/>
      <c r="K56" s="50"/>
      <c r="L56" s="50"/>
      <c r="M56" s="50"/>
      <c r="N56" s="51" t="s">
        <v>151</v>
      </c>
      <c r="O56" s="50"/>
      <c r="P56" s="51" t="s">
        <v>152</v>
      </c>
      <c r="Q56" s="50"/>
    </row>
    <row r="57" spans="1:17" hidden="1" x14ac:dyDescent="0.2">
      <c r="A57" s="49">
        <v>52</v>
      </c>
      <c r="B57" s="49" t="s">
        <v>211</v>
      </c>
      <c r="C57" s="50">
        <f>MOD(C56,100000)</f>
        <v>0</v>
      </c>
      <c r="D57" s="52">
        <f>ROUNDDOWN((MOD(C58,10000))/1000,0)</f>
        <v>0</v>
      </c>
      <c r="E57" s="52">
        <f>ROUNDDOWN((MOD(C58,1000))/100,0)</f>
        <v>0</v>
      </c>
      <c r="F57" s="52">
        <f>ROUNDDOWN((MOD(C58,100))/10,0)</f>
        <v>0</v>
      </c>
      <c r="G57" s="52">
        <f>MOD(C58,10)</f>
        <v>0</v>
      </c>
      <c r="H57" s="52">
        <f>ROUNDDOWN((MOD(C56,100000))/10000,0)</f>
        <v>0</v>
      </c>
      <c r="I57" s="52">
        <f>ROUNDDOWN((MOD(C56,10000))/1000,0)</f>
        <v>0</v>
      </c>
      <c r="J57" s="52">
        <f>ROUNDDOWN((MOD(C56,1000))/100,0)</f>
        <v>0</v>
      </c>
      <c r="K57" s="52">
        <f>ROUNDDOWN((MOD(C56,100))/10,0)</f>
        <v>0</v>
      </c>
      <c r="L57" s="52">
        <f>MOD(C56,10)</f>
        <v>0</v>
      </c>
      <c r="M57" s="52">
        <f>(D57*10)+E57</f>
        <v>0</v>
      </c>
      <c r="N57" s="52">
        <f>(F57*10)+G57</f>
        <v>0</v>
      </c>
      <c r="O57" s="52">
        <f>(H57*10)+I57</f>
        <v>0</v>
      </c>
      <c r="P57" s="50">
        <f>+J57</f>
        <v>0</v>
      </c>
      <c r="Q57" s="50">
        <f>K57*10+L57</f>
        <v>0</v>
      </c>
    </row>
    <row r="58" spans="1:17" hidden="1" x14ac:dyDescent="0.2">
      <c r="A58" s="49">
        <v>53</v>
      </c>
      <c r="B58" s="49" t="s">
        <v>212</v>
      </c>
      <c r="C58" s="50">
        <f>(C56-C57)/100000</f>
        <v>0</v>
      </c>
      <c r="D58" s="50"/>
      <c r="E58" s="50"/>
      <c r="F58" s="50"/>
      <c r="G58" s="50"/>
      <c r="H58" s="50"/>
      <c r="I58" s="50"/>
      <c r="J58" s="50"/>
      <c r="K58" s="50"/>
      <c r="L58" s="51" t="s">
        <v>157</v>
      </c>
      <c r="M58" s="50" t="str">
        <f>VLOOKUP(M57,$A$5:$B$104,2)</f>
        <v xml:space="preserve"> </v>
      </c>
      <c r="N58" s="50" t="str">
        <f>VLOOKUP(N57,$A$5:$B$104,2)</f>
        <v xml:space="preserve"> </v>
      </c>
      <c r="O58" s="50" t="str">
        <f>VLOOKUP(O57,$A$5:$B$104,2)</f>
        <v xml:space="preserve"> </v>
      </c>
      <c r="P58" s="50" t="str">
        <f>VLOOKUP(P57,$A$5:$B$104,2)</f>
        <v xml:space="preserve"> </v>
      </c>
      <c r="Q58" s="50" t="str">
        <f>VLOOKUP(Q57,$A$5:$B$104,2)</f>
        <v xml:space="preserve"> </v>
      </c>
    </row>
    <row r="59" spans="1:17" hidden="1" x14ac:dyDescent="0.2">
      <c r="A59" s="49">
        <v>54</v>
      </c>
      <c r="B59" s="49" t="s">
        <v>213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 t="str">
        <f>IF(M57&gt;=1,$B$4,$B$5)</f>
        <v xml:space="preserve"> </v>
      </c>
      <c r="N59" s="50" t="str">
        <f>IF(N57&gt;=1,$B$3,$B$5)</f>
        <v xml:space="preserve"> </v>
      </c>
      <c r="O59" s="50" t="str">
        <f>IF(O57&gt;=1,$B$1,$B$5)</f>
        <v xml:space="preserve"> </v>
      </c>
      <c r="P59" s="50" t="str">
        <f>IF(P57&gt;=1,$B$2,$B$5)</f>
        <v xml:space="preserve"> </v>
      </c>
      <c r="Q59" s="50"/>
    </row>
    <row r="60" spans="1:17" ht="15.75" hidden="1" x14ac:dyDescent="0.25">
      <c r="A60" s="49">
        <v>55</v>
      </c>
      <c r="B60" s="49" t="s">
        <v>214</v>
      </c>
      <c r="C60" s="53" t="str">
        <f>TRIM(N56&amp;M60&amp;N60&amp;O60&amp;P60&amp;Q60&amp;P56)</f>
        <v>Rs Only</v>
      </c>
      <c r="D60" s="50"/>
      <c r="E60" s="50"/>
      <c r="F60" s="50"/>
      <c r="G60" s="50"/>
      <c r="H60" s="50"/>
      <c r="I60" s="50"/>
      <c r="J60" s="50"/>
      <c r="K60" s="50"/>
      <c r="L60" s="50"/>
      <c r="M60" s="54" t="str">
        <f>M58&amp;L58&amp;M59</f>
        <v xml:space="preserve">   </v>
      </c>
      <c r="N60" s="54" t="str">
        <f>N58&amp;L58&amp;N59</f>
        <v xml:space="preserve">   </v>
      </c>
      <c r="O60" s="54" t="str">
        <f>O58&amp;L58&amp;O59</f>
        <v xml:space="preserve">   </v>
      </c>
      <c r="P60" s="54" t="str">
        <f>P58&amp;L58&amp;P59</f>
        <v xml:space="preserve">   </v>
      </c>
      <c r="Q60" s="54" t="str">
        <f>Q58&amp;L58&amp;Q59</f>
        <v xml:space="preserve">  </v>
      </c>
    </row>
    <row r="61" spans="1:17" x14ac:dyDescent="0.2">
      <c r="A61" s="49">
        <v>56</v>
      </c>
      <c r="B61" s="49" t="s">
        <v>215</v>
      </c>
      <c r="C61" s="50">
        <f>+R61</f>
        <v>0</v>
      </c>
      <c r="D61" s="50"/>
      <c r="E61" s="50"/>
      <c r="F61" s="50"/>
      <c r="G61" s="50"/>
      <c r="H61" s="50" t="s">
        <v>150</v>
      </c>
      <c r="I61" s="50"/>
      <c r="J61" s="50"/>
      <c r="K61" s="50"/>
      <c r="L61" s="50"/>
      <c r="M61" s="50"/>
      <c r="N61" s="51" t="s">
        <v>151</v>
      </c>
      <c r="O61" s="50"/>
      <c r="P61" s="51" t="s">
        <v>152</v>
      </c>
      <c r="Q61" s="50"/>
    </row>
    <row r="62" spans="1:17" hidden="1" x14ac:dyDescent="0.2">
      <c r="A62" s="49">
        <v>57</v>
      </c>
      <c r="B62" s="49" t="s">
        <v>216</v>
      </c>
      <c r="C62" s="50">
        <f>MOD(C61,100000)</f>
        <v>0</v>
      </c>
      <c r="D62" s="52">
        <f>ROUNDDOWN((MOD(C63,10000))/1000,0)</f>
        <v>0</v>
      </c>
      <c r="E62" s="52">
        <f>ROUNDDOWN((MOD(C63,1000))/100,0)</f>
        <v>0</v>
      </c>
      <c r="F62" s="52">
        <f>ROUNDDOWN((MOD(C63,100))/10,0)</f>
        <v>0</v>
      </c>
      <c r="G62" s="52">
        <f>MOD(C63,10)</f>
        <v>0</v>
      </c>
      <c r="H62" s="52">
        <f>ROUNDDOWN((MOD(C61,100000))/10000,0)</f>
        <v>0</v>
      </c>
      <c r="I62" s="52">
        <f>ROUNDDOWN((MOD(C61,10000))/1000,0)</f>
        <v>0</v>
      </c>
      <c r="J62" s="52">
        <f>ROUNDDOWN((MOD(C61,1000))/100,0)</f>
        <v>0</v>
      </c>
      <c r="K62" s="52">
        <f>ROUNDDOWN((MOD(C61,100))/10,0)</f>
        <v>0</v>
      </c>
      <c r="L62" s="52">
        <f>MOD(C61,10)</f>
        <v>0</v>
      </c>
      <c r="M62" s="52">
        <f>(D62*10)+E62</f>
        <v>0</v>
      </c>
      <c r="N62" s="52">
        <f>(F62*10)+G62</f>
        <v>0</v>
      </c>
      <c r="O62" s="52">
        <f>(H62*10)+I62</f>
        <v>0</v>
      </c>
      <c r="P62" s="50">
        <f>+J62</f>
        <v>0</v>
      </c>
      <c r="Q62" s="50">
        <f>K62*10+L62</f>
        <v>0</v>
      </c>
    </row>
    <row r="63" spans="1:17" hidden="1" x14ac:dyDescent="0.2">
      <c r="A63" s="49">
        <v>58</v>
      </c>
      <c r="B63" s="49" t="s">
        <v>217</v>
      </c>
      <c r="C63" s="50">
        <f>(C61-C62)/100000</f>
        <v>0</v>
      </c>
      <c r="D63" s="50"/>
      <c r="E63" s="50"/>
      <c r="F63" s="50"/>
      <c r="G63" s="50"/>
      <c r="H63" s="50"/>
      <c r="I63" s="50"/>
      <c r="J63" s="50"/>
      <c r="K63" s="50"/>
      <c r="L63" s="51" t="s">
        <v>157</v>
      </c>
      <c r="M63" s="50" t="str">
        <f>VLOOKUP(M62,$A$5:$B$104,2)</f>
        <v xml:space="preserve"> </v>
      </c>
      <c r="N63" s="50" t="str">
        <f>VLOOKUP(N62,$A$5:$B$104,2)</f>
        <v xml:space="preserve"> </v>
      </c>
      <c r="O63" s="50" t="str">
        <f>VLOOKUP(O62,$A$5:$B$104,2)</f>
        <v xml:space="preserve"> </v>
      </c>
      <c r="P63" s="50" t="str">
        <f>VLOOKUP(P62,$A$5:$B$104,2)</f>
        <v xml:space="preserve"> </v>
      </c>
      <c r="Q63" s="50" t="str">
        <f>VLOOKUP(Q62,$A$5:$B$104,2)</f>
        <v xml:space="preserve"> </v>
      </c>
    </row>
    <row r="64" spans="1:17" hidden="1" x14ac:dyDescent="0.2">
      <c r="A64" s="49">
        <v>59</v>
      </c>
      <c r="B64" s="49" t="s">
        <v>218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 t="str">
        <f>IF(M62&gt;=1,$B$4,$B$5)</f>
        <v xml:space="preserve"> </v>
      </c>
      <c r="N64" s="50" t="str">
        <f>IF(N62&gt;=1,$B$3,$B$5)</f>
        <v xml:space="preserve"> </v>
      </c>
      <c r="O64" s="50" t="str">
        <f>IF(O62&gt;=1,$B$1,$B$5)</f>
        <v xml:space="preserve"> </v>
      </c>
      <c r="P64" s="50" t="str">
        <f>IF(P62&gt;=1,$B$2,$B$5)</f>
        <v xml:space="preserve"> </v>
      </c>
      <c r="Q64" s="50"/>
    </row>
    <row r="65" spans="1:17" ht="15.75" hidden="1" x14ac:dyDescent="0.25">
      <c r="A65" s="49">
        <v>60</v>
      </c>
      <c r="B65" s="49" t="s">
        <v>219</v>
      </c>
      <c r="C65" s="53" t="str">
        <f>TRIM(N61&amp;M65&amp;N65&amp;O65&amp;P65&amp;Q65&amp;P61)</f>
        <v>Rs Only</v>
      </c>
      <c r="D65" s="50"/>
      <c r="E65" s="50"/>
      <c r="F65" s="50"/>
      <c r="G65" s="50"/>
      <c r="H65" s="50"/>
      <c r="I65" s="50"/>
      <c r="J65" s="50"/>
      <c r="K65" s="50"/>
      <c r="L65" s="50"/>
      <c r="M65" s="54" t="str">
        <f>M63&amp;L63&amp;M64</f>
        <v xml:space="preserve">   </v>
      </c>
      <c r="N65" s="54" t="str">
        <f>N63&amp;L63&amp;N64</f>
        <v xml:space="preserve">   </v>
      </c>
      <c r="O65" s="54" t="str">
        <f>O63&amp;L63&amp;O64</f>
        <v xml:space="preserve">   </v>
      </c>
      <c r="P65" s="54" t="str">
        <f>P63&amp;L63&amp;P64</f>
        <v xml:space="preserve">   </v>
      </c>
      <c r="Q65" s="54" t="str">
        <f>Q63&amp;L63&amp;Q64</f>
        <v xml:space="preserve">  </v>
      </c>
    </row>
    <row r="66" spans="1:17" x14ac:dyDescent="0.2">
      <c r="A66" s="49">
        <v>61</v>
      </c>
      <c r="B66" s="49" t="s">
        <v>220</v>
      </c>
      <c r="C66" s="50">
        <f>+R66</f>
        <v>0</v>
      </c>
      <c r="D66" s="50"/>
      <c r="E66" s="50"/>
      <c r="F66" s="50"/>
      <c r="G66" s="50"/>
      <c r="H66" s="50" t="s">
        <v>150</v>
      </c>
      <c r="I66" s="50"/>
      <c r="J66" s="50"/>
      <c r="K66" s="50"/>
      <c r="L66" s="50"/>
      <c r="M66" s="50"/>
      <c r="N66" s="51" t="s">
        <v>151</v>
      </c>
      <c r="O66" s="50"/>
      <c r="P66" s="51" t="s">
        <v>152</v>
      </c>
      <c r="Q66" s="50"/>
    </row>
    <row r="67" spans="1:17" hidden="1" x14ac:dyDescent="0.2">
      <c r="A67" s="49">
        <v>62</v>
      </c>
      <c r="B67" s="49" t="s">
        <v>221</v>
      </c>
      <c r="C67" s="50">
        <f>MOD(C66,100000)</f>
        <v>0</v>
      </c>
      <c r="D67" s="52">
        <f>ROUNDDOWN((MOD(C68,10000))/1000,0)</f>
        <v>0</v>
      </c>
      <c r="E67" s="52">
        <f>ROUNDDOWN((MOD(C68,1000))/100,0)</f>
        <v>0</v>
      </c>
      <c r="F67" s="52">
        <f>ROUNDDOWN((MOD(C68,100))/10,0)</f>
        <v>0</v>
      </c>
      <c r="G67" s="52">
        <f>MOD(C68,10)</f>
        <v>0</v>
      </c>
      <c r="H67" s="52">
        <f>ROUNDDOWN((MOD(C66,100000))/10000,0)</f>
        <v>0</v>
      </c>
      <c r="I67" s="52">
        <f>ROUNDDOWN((MOD(C66,10000))/1000,0)</f>
        <v>0</v>
      </c>
      <c r="J67" s="52">
        <f>ROUNDDOWN((MOD(C66,1000))/100,0)</f>
        <v>0</v>
      </c>
      <c r="K67" s="52">
        <f>ROUNDDOWN((MOD(C66,100))/10,0)</f>
        <v>0</v>
      </c>
      <c r="L67" s="52">
        <f>MOD(C66,10)</f>
        <v>0</v>
      </c>
      <c r="M67" s="52">
        <f>(D67*10)+E67</f>
        <v>0</v>
      </c>
      <c r="N67" s="52">
        <f>(F67*10)+G67</f>
        <v>0</v>
      </c>
      <c r="O67" s="52">
        <f>(H67*10)+I67</f>
        <v>0</v>
      </c>
      <c r="P67" s="50">
        <f>+J67</f>
        <v>0</v>
      </c>
      <c r="Q67" s="50">
        <f>K67*10+L67</f>
        <v>0</v>
      </c>
    </row>
    <row r="68" spans="1:17" hidden="1" x14ac:dyDescent="0.2">
      <c r="A68" s="49">
        <v>63</v>
      </c>
      <c r="B68" s="49" t="s">
        <v>222</v>
      </c>
      <c r="C68" s="50">
        <f>(C66-C67)/100000</f>
        <v>0</v>
      </c>
      <c r="D68" s="50"/>
      <c r="E68" s="50"/>
      <c r="F68" s="50"/>
      <c r="G68" s="50"/>
      <c r="H68" s="50"/>
      <c r="I68" s="50"/>
      <c r="J68" s="50"/>
      <c r="K68" s="50"/>
      <c r="L68" s="51" t="s">
        <v>157</v>
      </c>
      <c r="M68" s="50" t="str">
        <f>VLOOKUP(M67,$A$5:$B$104,2)</f>
        <v xml:space="preserve"> </v>
      </c>
      <c r="N68" s="50" t="str">
        <f>VLOOKUP(N67,$A$5:$B$104,2)</f>
        <v xml:space="preserve"> </v>
      </c>
      <c r="O68" s="50" t="str">
        <f>VLOOKUP(O67,$A$5:$B$104,2)</f>
        <v xml:space="preserve"> </v>
      </c>
      <c r="P68" s="50" t="str">
        <f>VLOOKUP(P67,$A$5:$B$104,2)</f>
        <v xml:space="preserve"> </v>
      </c>
      <c r="Q68" s="50" t="str">
        <f>VLOOKUP(Q67,$A$5:$B$104,2)</f>
        <v xml:space="preserve"> </v>
      </c>
    </row>
    <row r="69" spans="1:17" hidden="1" x14ac:dyDescent="0.2">
      <c r="A69" s="49">
        <v>64</v>
      </c>
      <c r="B69" s="49" t="s">
        <v>223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 t="str">
        <f>IF(M67&gt;=1,$B$4,$B$5)</f>
        <v xml:space="preserve"> </v>
      </c>
      <c r="N69" s="50" t="str">
        <f>IF(N67&gt;=1,$B$3,$B$5)</f>
        <v xml:space="preserve"> </v>
      </c>
      <c r="O69" s="50" t="str">
        <f>IF(O67&gt;=1,$B$1,$B$5)</f>
        <v xml:space="preserve"> </v>
      </c>
      <c r="P69" s="50" t="str">
        <f>IF(P67&gt;=1,$B$2,$B$5)</f>
        <v xml:space="preserve"> </v>
      </c>
      <c r="Q69" s="50"/>
    </row>
    <row r="70" spans="1:17" ht="15.75" hidden="1" x14ac:dyDescent="0.25">
      <c r="A70" s="49">
        <v>65</v>
      </c>
      <c r="B70" s="49" t="s">
        <v>224</v>
      </c>
      <c r="C70" s="53" t="str">
        <f>TRIM(N66&amp;M70&amp;N70&amp;O70&amp;P70&amp;Q70&amp;P66)</f>
        <v>Rs Only</v>
      </c>
      <c r="D70" s="50"/>
      <c r="E70" s="50"/>
      <c r="F70" s="50"/>
      <c r="G70" s="50"/>
      <c r="H70" s="50"/>
      <c r="I70" s="50"/>
      <c r="J70" s="50"/>
      <c r="K70" s="50"/>
      <c r="L70" s="50"/>
      <c r="M70" s="54" t="str">
        <f>M68&amp;L68&amp;M69</f>
        <v xml:space="preserve">   </v>
      </c>
      <c r="N70" s="54" t="str">
        <f>N68&amp;L68&amp;N69</f>
        <v xml:space="preserve">   </v>
      </c>
      <c r="O70" s="54" t="str">
        <f>O68&amp;L68&amp;O69</f>
        <v xml:space="preserve">   </v>
      </c>
      <c r="P70" s="54" t="str">
        <f>P68&amp;L68&amp;P69</f>
        <v xml:space="preserve">   </v>
      </c>
      <c r="Q70" s="54" t="str">
        <f>Q68&amp;L68&amp;Q69</f>
        <v xml:space="preserve">  </v>
      </c>
    </row>
    <row r="71" spans="1:17" x14ac:dyDescent="0.2">
      <c r="A71" s="49">
        <v>66</v>
      </c>
      <c r="B71" s="49" t="s">
        <v>225</v>
      </c>
      <c r="C71" s="50">
        <f>+R71</f>
        <v>0</v>
      </c>
      <c r="D71" s="50"/>
      <c r="E71" s="50"/>
      <c r="F71" s="50"/>
      <c r="G71" s="50"/>
      <c r="H71" s="50" t="s">
        <v>150</v>
      </c>
      <c r="I71" s="50"/>
      <c r="J71" s="50"/>
      <c r="K71" s="50"/>
      <c r="L71" s="50"/>
      <c r="M71" s="50"/>
      <c r="N71" s="51" t="s">
        <v>151</v>
      </c>
      <c r="O71" s="50"/>
      <c r="P71" s="51" t="s">
        <v>152</v>
      </c>
      <c r="Q71" s="50"/>
    </row>
    <row r="72" spans="1:17" hidden="1" x14ac:dyDescent="0.2">
      <c r="A72" s="49">
        <v>67</v>
      </c>
      <c r="B72" s="49" t="s">
        <v>226</v>
      </c>
      <c r="C72" s="50">
        <f>MOD(C71,100000)</f>
        <v>0</v>
      </c>
      <c r="D72" s="52">
        <f>ROUNDDOWN((MOD(C73,10000))/1000,0)</f>
        <v>0</v>
      </c>
      <c r="E72" s="52">
        <f>ROUNDDOWN((MOD(C73,1000))/100,0)</f>
        <v>0</v>
      </c>
      <c r="F72" s="52">
        <f>ROUNDDOWN((MOD(C73,100))/10,0)</f>
        <v>0</v>
      </c>
      <c r="G72" s="52">
        <f>MOD(C73,10)</f>
        <v>0</v>
      </c>
      <c r="H72" s="52">
        <f>ROUNDDOWN((MOD(C71,100000))/10000,0)</f>
        <v>0</v>
      </c>
      <c r="I72" s="52">
        <f>ROUNDDOWN((MOD(C71,10000))/1000,0)</f>
        <v>0</v>
      </c>
      <c r="J72" s="52">
        <f>ROUNDDOWN((MOD(C71,1000))/100,0)</f>
        <v>0</v>
      </c>
      <c r="K72" s="52">
        <f>ROUNDDOWN((MOD(C71,100))/10,0)</f>
        <v>0</v>
      </c>
      <c r="L72" s="52">
        <f>MOD(C71,10)</f>
        <v>0</v>
      </c>
      <c r="M72" s="52">
        <f>(D72*10)+E72</f>
        <v>0</v>
      </c>
      <c r="N72" s="52">
        <f>(F72*10)+G72</f>
        <v>0</v>
      </c>
      <c r="O72" s="52">
        <f>(H72*10)+I72</f>
        <v>0</v>
      </c>
      <c r="P72" s="50">
        <f>+J72</f>
        <v>0</v>
      </c>
      <c r="Q72" s="50">
        <f>K72*10+L72</f>
        <v>0</v>
      </c>
    </row>
    <row r="73" spans="1:17" hidden="1" x14ac:dyDescent="0.2">
      <c r="A73" s="49">
        <v>68</v>
      </c>
      <c r="B73" s="49" t="s">
        <v>227</v>
      </c>
      <c r="C73" s="50">
        <f>(C71-C72)/100000</f>
        <v>0</v>
      </c>
      <c r="D73" s="50"/>
      <c r="E73" s="50"/>
      <c r="F73" s="50"/>
      <c r="G73" s="50"/>
      <c r="H73" s="50"/>
      <c r="I73" s="50"/>
      <c r="J73" s="50"/>
      <c r="K73" s="50"/>
      <c r="L73" s="51" t="s">
        <v>157</v>
      </c>
      <c r="M73" s="50" t="str">
        <f>VLOOKUP(M72,$A$5:$B$104,2)</f>
        <v xml:space="preserve"> </v>
      </c>
      <c r="N73" s="50" t="str">
        <f>VLOOKUP(N72,$A$5:$B$104,2)</f>
        <v xml:space="preserve"> </v>
      </c>
      <c r="O73" s="50" t="str">
        <f>VLOOKUP(O72,$A$5:$B$104,2)</f>
        <v xml:space="preserve"> </v>
      </c>
      <c r="P73" s="50" t="str">
        <f>VLOOKUP(P72,$A$5:$B$104,2)</f>
        <v xml:space="preserve"> </v>
      </c>
      <c r="Q73" s="50" t="str">
        <f>VLOOKUP(Q72,$A$5:$B$104,2)</f>
        <v xml:space="preserve"> </v>
      </c>
    </row>
    <row r="74" spans="1:17" hidden="1" x14ac:dyDescent="0.2">
      <c r="A74" s="49">
        <v>69</v>
      </c>
      <c r="B74" s="49" t="s">
        <v>228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 t="str">
        <f>IF(M72&gt;=1,$B$4,$B$5)</f>
        <v xml:space="preserve"> </v>
      </c>
      <c r="N74" s="50" t="str">
        <f>IF(N72&gt;=1,$B$3,$B$5)</f>
        <v xml:space="preserve"> </v>
      </c>
      <c r="O74" s="50" t="str">
        <f>IF(O72&gt;=1,$B$1,$B$5)</f>
        <v xml:space="preserve"> </v>
      </c>
      <c r="P74" s="50" t="str">
        <f>IF(P72&gt;=1,$B$2,$B$5)</f>
        <v xml:space="preserve"> </v>
      </c>
      <c r="Q74" s="50"/>
    </row>
    <row r="75" spans="1:17" ht="15.75" hidden="1" x14ac:dyDescent="0.25">
      <c r="A75" s="49">
        <v>70</v>
      </c>
      <c r="B75" s="49" t="s">
        <v>229</v>
      </c>
      <c r="C75" s="53" t="str">
        <f>TRIM(N71&amp;M75&amp;N75&amp;O75&amp;P75&amp;Q75&amp;P71)</f>
        <v>Rs Only</v>
      </c>
      <c r="D75" s="50"/>
      <c r="E75" s="50"/>
      <c r="F75" s="50"/>
      <c r="G75" s="50"/>
      <c r="H75" s="50"/>
      <c r="I75" s="50"/>
      <c r="J75" s="50"/>
      <c r="K75" s="50"/>
      <c r="L75" s="50"/>
      <c r="M75" s="54" t="str">
        <f>M73&amp;L73&amp;M74</f>
        <v xml:space="preserve">   </v>
      </c>
      <c r="N75" s="54" t="str">
        <f>N73&amp;L73&amp;N74</f>
        <v xml:space="preserve">   </v>
      </c>
      <c r="O75" s="54" t="str">
        <f>O73&amp;L73&amp;O74</f>
        <v xml:space="preserve">   </v>
      </c>
      <c r="P75" s="54" t="str">
        <f>P73&amp;L73&amp;P74</f>
        <v xml:space="preserve">   </v>
      </c>
      <c r="Q75" s="54" t="str">
        <f>Q73&amp;L73&amp;Q74</f>
        <v xml:space="preserve">  </v>
      </c>
    </row>
    <row r="76" spans="1:17" x14ac:dyDescent="0.2">
      <c r="A76" s="49">
        <v>71</v>
      </c>
      <c r="B76" s="49" t="s">
        <v>230</v>
      </c>
      <c r="C76" s="50">
        <f>+R76</f>
        <v>0</v>
      </c>
      <c r="D76" s="50"/>
      <c r="E76" s="50"/>
      <c r="F76" s="50"/>
      <c r="G76" s="50"/>
      <c r="H76" s="50" t="s">
        <v>150</v>
      </c>
      <c r="I76" s="50"/>
      <c r="J76" s="50"/>
      <c r="K76" s="50"/>
      <c r="L76" s="50"/>
      <c r="M76" s="50"/>
      <c r="N76" s="51" t="s">
        <v>151</v>
      </c>
      <c r="O76" s="50"/>
      <c r="P76" s="51" t="s">
        <v>152</v>
      </c>
      <c r="Q76" s="50"/>
    </row>
    <row r="77" spans="1:17" hidden="1" x14ac:dyDescent="0.2">
      <c r="A77" s="49">
        <v>72</v>
      </c>
      <c r="B77" s="49" t="s">
        <v>231</v>
      </c>
      <c r="C77" s="50">
        <f>MOD(C76,100000)</f>
        <v>0</v>
      </c>
      <c r="D77" s="52">
        <f>ROUNDDOWN((MOD(C78,10000))/1000,0)</f>
        <v>0</v>
      </c>
      <c r="E77" s="52">
        <f>ROUNDDOWN((MOD(C78,1000))/100,0)</f>
        <v>0</v>
      </c>
      <c r="F77" s="52">
        <f>ROUNDDOWN((MOD(C78,100))/10,0)</f>
        <v>0</v>
      </c>
      <c r="G77" s="52">
        <f>MOD(C78,10)</f>
        <v>0</v>
      </c>
      <c r="H77" s="52">
        <f>ROUNDDOWN((MOD(C76,100000))/10000,0)</f>
        <v>0</v>
      </c>
      <c r="I77" s="52">
        <f>ROUNDDOWN((MOD(C76,10000))/1000,0)</f>
        <v>0</v>
      </c>
      <c r="J77" s="52">
        <f>ROUNDDOWN((MOD(C76,1000))/100,0)</f>
        <v>0</v>
      </c>
      <c r="K77" s="52">
        <f>ROUNDDOWN((MOD(C76,100))/10,0)</f>
        <v>0</v>
      </c>
      <c r="L77" s="52">
        <f>MOD(C76,10)</f>
        <v>0</v>
      </c>
      <c r="M77" s="52">
        <f>(D77*10)+E77</f>
        <v>0</v>
      </c>
      <c r="N77" s="52">
        <f>(F77*10)+G77</f>
        <v>0</v>
      </c>
      <c r="O77" s="52">
        <f>(H77*10)+I77</f>
        <v>0</v>
      </c>
      <c r="P77" s="50">
        <f>+J77</f>
        <v>0</v>
      </c>
      <c r="Q77" s="50">
        <f>K77*10+L77</f>
        <v>0</v>
      </c>
    </row>
    <row r="78" spans="1:17" hidden="1" x14ac:dyDescent="0.2">
      <c r="A78" s="49">
        <v>73</v>
      </c>
      <c r="B78" s="49" t="s">
        <v>232</v>
      </c>
      <c r="C78" s="50">
        <f>(C76-C77)/100000</f>
        <v>0</v>
      </c>
      <c r="D78" s="50"/>
      <c r="E78" s="50"/>
      <c r="F78" s="50"/>
      <c r="G78" s="50"/>
      <c r="H78" s="50"/>
      <c r="I78" s="50"/>
      <c r="J78" s="50"/>
      <c r="K78" s="50"/>
      <c r="L78" s="51" t="s">
        <v>157</v>
      </c>
      <c r="M78" s="50" t="str">
        <f>VLOOKUP(M77,$A$5:$B$104,2)</f>
        <v xml:space="preserve"> </v>
      </c>
      <c r="N78" s="50" t="str">
        <f>VLOOKUP(N77,$A$5:$B$104,2)</f>
        <v xml:space="preserve"> </v>
      </c>
      <c r="O78" s="50" t="str">
        <f>VLOOKUP(O77,$A$5:$B$104,2)</f>
        <v xml:space="preserve"> </v>
      </c>
      <c r="P78" s="50" t="str">
        <f>VLOOKUP(P77,$A$5:$B$104,2)</f>
        <v xml:space="preserve"> </v>
      </c>
      <c r="Q78" s="50" t="str">
        <f>VLOOKUP(Q77,$A$5:$B$104,2)</f>
        <v xml:space="preserve"> </v>
      </c>
    </row>
    <row r="79" spans="1:17" hidden="1" x14ac:dyDescent="0.2">
      <c r="A79" s="49">
        <v>74</v>
      </c>
      <c r="B79" s="49" t="s">
        <v>233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 t="str">
        <f>IF(M77&gt;=1,$B$4,$B$5)</f>
        <v xml:space="preserve"> </v>
      </c>
      <c r="N79" s="50" t="str">
        <f>IF(N77&gt;=1,$B$3,$B$5)</f>
        <v xml:space="preserve"> </v>
      </c>
      <c r="O79" s="50" t="str">
        <f>IF(O77&gt;=1,$B$1,$B$5)</f>
        <v xml:space="preserve"> </v>
      </c>
      <c r="P79" s="50" t="str">
        <f>IF(P77&gt;=1,$B$2,$B$5)</f>
        <v xml:space="preserve"> </v>
      </c>
      <c r="Q79" s="50"/>
    </row>
    <row r="80" spans="1:17" ht="15.75" hidden="1" x14ac:dyDescent="0.25">
      <c r="A80" s="49">
        <v>75</v>
      </c>
      <c r="B80" s="49" t="s">
        <v>234</v>
      </c>
      <c r="C80" s="53" t="str">
        <f>TRIM(N76&amp;M80&amp;N80&amp;O80&amp;P80&amp;Q80&amp;P76)</f>
        <v>Rs Only</v>
      </c>
      <c r="D80" s="50"/>
      <c r="E80" s="50"/>
      <c r="F80" s="50"/>
      <c r="G80" s="50"/>
      <c r="H80" s="50"/>
      <c r="I80" s="50"/>
      <c r="J80" s="50"/>
      <c r="K80" s="50"/>
      <c r="L80" s="50"/>
      <c r="M80" s="54" t="str">
        <f>M78&amp;L78&amp;M79</f>
        <v xml:space="preserve">   </v>
      </c>
      <c r="N80" s="54" t="str">
        <f>N78&amp;L78&amp;N79</f>
        <v xml:space="preserve">   </v>
      </c>
      <c r="O80" s="54" t="str">
        <f>O78&amp;L78&amp;O79</f>
        <v xml:space="preserve">   </v>
      </c>
      <c r="P80" s="54" t="str">
        <f>P78&amp;L78&amp;P79</f>
        <v xml:space="preserve">   </v>
      </c>
      <c r="Q80" s="54" t="str">
        <f>Q78&amp;L78&amp;Q79</f>
        <v xml:space="preserve">  </v>
      </c>
    </row>
    <row r="81" spans="1:17" x14ac:dyDescent="0.2">
      <c r="A81" s="49">
        <v>76</v>
      </c>
      <c r="B81" s="49" t="s">
        <v>235</v>
      </c>
      <c r="C81" s="50">
        <f>+R81</f>
        <v>0</v>
      </c>
      <c r="D81" s="50"/>
      <c r="E81" s="50"/>
      <c r="F81" s="50"/>
      <c r="G81" s="50"/>
      <c r="H81" s="50" t="s">
        <v>150</v>
      </c>
      <c r="I81" s="50"/>
      <c r="J81" s="50"/>
      <c r="K81" s="50"/>
      <c r="L81" s="50"/>
      <c r="M81" s="50"/>
      <c r="N81" s="51" t="s">
        <v>151</v>
      </c>
      <c r="O81" s="50"/>
      <c r="P81" s="51" t="s">
        <v>152</v>
      </c>
      <c r="Q81" s="50"/>
    </row>
    <row r="82" spans="1:17" hidden="1" x14ac:dyDescent="0.2">
      <c r="A82" s="49">
        <v>77</v>
      </c>
      <c r="B82" s="49" t="s">
        <v>236</v>
      </c>
      <c r="C82" s="50">
        <f>MOD(C81,100000)</f>
        <v>0</v>
      </c>
      <c r="D82" s="52">
        <f>ROUNDDOWN((MOD(C83,10000))/1000,0)</f>
        <v>0</v>
      </c>
      <c r="E82" s="52">
        <f>ROUNDDOWN((MOD(C83,1000))/100,0)</f>
        <v>0</v>
      </c>
      <c r="F82" s="52">
        <f>ROUNDDOWN((MOD(C83,100))/10,0)</f>
        <v>0</v>
      </c>
      <c r="G82" s="52">
        <f>MOD(C83,10)</f>
        <v>0</v>
      </c>
      <c r="H82" s="52">
        <f>ROUNDDOWN((MOD(C81,100000))/10000,0)</f>
        <v>0</v>
      </c>
      <c r="I82" s="52">
        <f>ROUNDDOWN((MOD(C81,10000))/1000,0)</f>
        <v>0</v>
      </c>
      <c r="J82" s="52">
        <f>ROUNDDOWN((MOD(C81,1000))/100,0)</f>
        <v>0</v>
      </c>
      <c r="K82" s="52">
        <f>ROUNDDOWN((MOD(C81,100))/10,0)</f>
        <v>0</v>
      </c>
      <c r="L82" s="52">
        <f>MOD(C81,10)</f>
        <v>0</v>
      </c>
      <c r="M82" s="52">
        <f>(D82*10)+E82</f>
        <v>0</v>
      </c>
      <c r="N82" s="52">
        <f>(F82*10)+G82</f>
        <v>0</v>
      </c>
      <c r="O82" s="52">
        <f>(H82*10)+I82</f>
        <v>0</v>
      </c>
      <c r="P82" s="50">
        <f>+J82</f>
        <v>0</v>
      </c>
      <c r="Q82" s="50">
        <f>K82*10+L82</f>
        <v>0</v>
      </c>
    </row>
    <row r="83" spans="1:17" hidden="1" x14ac:dyDescent="0.2">
      <c r="A83" s="49">
        <v>78</v>
      </c>
      <c r="B83" s="49" t="s">
        <v>237</v>
      </c>
      <c r="C83" s="50">
        <f>(C81-C82)/100000</f>
        <v>0</v>
      </c>
      <c r="D83" s="50"/>
      <c r="E83" s="50"/>
      <c r="F83" s="50"/>
      <c r="G83" s="50"/>
      <c r="H83" s="50"/>
      <c r="I83" s="50"/>
      <c r="J83" s="50"/>
      <c r="K83" s="50"/>
      <c r="L83" s="51" t="s">
        <v>157</v>
      </c>
      <c r="M83" s="50" t="str">
        <f>VLOOKUP(M82,$A$5:$B$104,2)</f>
        <v xml:space="preserve"> </v>
      </c>
      <c r="N83" s="50" t="str">
        <f>VLOOKUP(N82,$A$5:$B$104,2)</f>
        <v xml:space="preserve"> </v>
      </c>
      <c r="O83" s="50" t="str">
        <f>VLOOKUP(O82,$A$5:$B$104,2)</f>
        <v xml:space="preserve"> </v>
      </c>
      <c r="P83" s="50" t="str">
        <f>VLOOKUP(P82,$A$5:$B$104,2)</f>
        <v xml:space="preserve"> </v>
      </c>
      <c r="Q83" s="50" t="str">
        <f>VLOOKUP(Q82,$A$5:$B$104,2)</f>
        <v xml:space="preserve"> </v>
      </c>
    </row>
    <row r="84" spans="1:17" hidden="1" x14ac:dyDescent="0.2">
      <c r="A84" s="49">
        <v>79</v>
      </c>
      <c r="B84" s="49" t="s">
        <v>238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 t="str">
        <f>IF(M82&gt;=1,$B$4,$B$5)</f>
        <v xml:space="preserve"> </v>
      </c>
      <c r="N84" s="50" t="str">
        <f>IF(N82&gt;=1,$B$3,$B$5)</f>
        <v xml:space="preserve"> </v>
      </c>
      <c r="O84" s="50" t="str">
        <f>IF(O82&gt;=1,$B$1,$B$5)</f>
        <v xml:space="preserve"> </v>
      </c>
      <c r="P84" s="50" t="str">
        <f>IF(P82&gt;=1,$B$2,$B$5)</f>
        <v xml:space="preserve"> </v>
      </c>
      <c r="Q84" s="50"/>
    </row>
    <row r="85" spans="1:17" ht="15.75" hidden="1" x14ac:dyDescent="0.25">
      <c r="A85" s="49">
        <v>80</v>
      </c>
      <c r="B85" s="49" t="s">
        <v>239</v>
      </c>
      <c r="C85" s="53" t="str">
        <f>TRIM(N81&amp;M85&amp;N85&amp;O85&amp;P85&amp;Q85&amp;P81)</f>
        <v>Rs Only</v>
      </c>
      <c r="D85" s="50"/>
      <c r="E85" s="50"/>
      <c r="F85" s="50"/>
      <c r="G85" s="50"/>
      <c r="H85" s="50"/>
      <c r="I85" s="50"/>
      <c r="J85" s="50"/>
      <c r="K85" s="50"/>
      <c r="L85" s="50"/>
      <c r="M85" s="54" t="str">
        <f>M83&amp;L83&amp;M84</f>
        <v xml:space="preserve">   </v>
      </c>
      <c r="N85" s="54" t="str">
        <f>N83&amp;L83&amp;N84</f>
        <v xml:space="preserve">   </v>
      </c>
      <c r="O85" s="54" t="str">
        <f>O83&amp;L83&amp;O84</f>
        <v xml:space="preserve">   </v>
      </c>
      <c r="P85" s="54" t="str">
        <f>P83&amp;L83&amp;P84</f>
        <v xml:space="preserve">   </v>
      </c>
      <c r="Q85" s="54" t="str">
        <f>Q83&amp;L83&amp;Q84</f>
        <v xml:space="preserve">  </v>
      </c>
    </row>
    <row r="86" spans="1:17" x14ac:dyDescent="0.2">
      <c r="A86" s="49">
        <v>81</v>
      </c>
      <c r="B86" s="49" t="s">
        <v>240</v>
      </c>
      <c r="C86" s="50">
        <f>+R86</f>
        <v>0</v>
      </c>
      <c r="D86" s="50"/>
      <c r="E86" s="50"/>
      <c r="F86" s="50"/>
      <c r="G86" s="50"/>
      <c r="H86" s="50" t="s">
        <v>150</v>
      </c>
      <c r="I86" s="50"/>
      <c r="J86" s="50"/>
      <c r="K86" s="50"/>
      <c r="L86" s="50"/>
      <c r="M86" s="50"/>
      <c r="N86" s="51" t="s">
        <v>151</v>
      </c>
      <c r="O86" s="50"/>
      <c r="P86" s="51" t="s">
        <v>152</v>
      </c>
      <c r="Q86" s="50"/>
    </row>
    <row r="87" spans="1:17" hidden="1" x14ac:dyDescent="0.2">
      <c r="A87" s="49">
        <v>82</v>
      </c>
      <c r="B87" s="49" t="s">
        <v>241</v>
      </c>
      <c r="C87" s="50">
        <f>MOD(C86,100000)</f>
        <v>0</v>
      </c>
      <c r="D87" s="52">
        <f>ROUNDDOWN((MOD(C88,10000))/1000,0)</f>
        <v>0</v>
      </c>
      <c r="E87" s="52">
        <f>ROUNDDOWN((MOD(C88,1000))/100,0)</f>
        <v>0</v>
      </c>
      <c r="F87" s="52">
        <f>ROUNDDOWN((MOD(C88,100))/10,0)</f>
        <v>0</v>
      </c>
      <c r="G87" s="52">
        <f>MOD(C88,10)</f>
        <v>0</v>
      </c>
      <c r="H87" s="52">
        <f>ROUNDDOWN((MOD(C86,100000))/10000,0)</f>
        <v>0</v>
      </c>
      <c r="I87" s="52">
        <f>ROUNDDOWN((MOD(C86,10000))/1000,0)</f>
        <v>0</v>
      </c>
      <c r="J87" s="52">
        <f>ROUNDDOWN((MOD(C86,1000))/100,0)</f>
        <v>0</v>
      </c>
      <c r="K87" s="52">
        <f>ROUNDDOWN((MOD(C86,100))/10,0)</f>
        <v>0</v>
      </c>
      <c r="L87" s="52">
        <f>MOD(C86,10)</f>
        <v>0</v>
      </c>
      <c r="M87" s="52">
        <f>(D87*10)+E87</f>
        <v>0</v>
      </c>
      <c r="N87" s="52">
        <f>(F87*10)+G87</f>
        <v>0</v>
      </c>
      <c r="O87" s="52">
        <f>(H87*10)+I87</f>
        <v>0</v>
      </c>
      <c r="P87" s="50">
        <f>+J87</f>
        <v>0</v>
      </c>
      <c r="Q87" s="50">
        <f>K87*10+L87</f>
        <v>0</v>
      </c>
    </row>
    <row r="88" spans="1:17" hidden="1" x14ac:dyDescent="0.2">
      <c r="A88" s="49">
        <v>83</v>
      </c>
      <c r="B88" s="49" t="s">
        <v>242</v>
      </c>
      <c r="C88" s="50">
        <f>(C86-C87)/100000</f>
        <v>0</v>
      </c>
      <c r="D88" s="50"/>
      <c r="E88" s="50"/>
      <c r="F88" s="50"/>
      <c r="G88" s="50"/>
      <c r="H88" s="50"/>
      <c r="I88" s="50"/>
      <c r="J88" s="50"/>
      <c r="K88" s="50"/>
      <c r="L88" s="51" t="s">
        <v>157</v>
      </c>
      <c r="M88" s="50" t="str">
        <f>VLOOKUP(M87,$A$5:$B$104,2)</f>
        <v xml:space="preserve"> </v>
      </c>
      <c r="N88" s="50" t="str">
        <f>VLOOKUP(N87,$A$5:$B$104,2)</f>
        <v xml:space="preserve"> </v>
      </c>
      <c r="O88" s="50" t="str">
        <f>VLOOKUP(O87,$A$5:$B$104,2)</f>
        <v xml:space="preserve"> </v>
      </c>
      <c r="P88" s="50" t="str">
        <f>VLOOKUP(P87,$A$5:$B$104,2)</f>
        <v xml:space="preserve"> </v>
      </c>
      <c r="Q88" s="50" t="str">
        <f>VLOOKUP(Q87,$A$5:$B$104,2)</f>
        <v xml:space="preserve"> </v>
      </c>
    </row>
    <row r="89" spans="1:17" hidden="1" x14ac:dyDescent="0.2">
      <c r="A89" s="49">
        <v>84</v>
      </c>
      <c r="B89" s="49" t="s">
        <v>243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 t="str">
        <f>IF(M87&gt;=1,$B$4,$B$5)</f>
        <v xml:space="preserve"> </v>
      </c>
      <c r="N89" s="50" t="str">
        <f>IF(N87&gt;=1,$B$3,$B$5)</f>
        <v xml:space="preserve"> </v>
      </c>
      <c r="O89" s="50" t="str">
        <f>IF(O87&gt;=1,$B$1,$B$5)</f>
        <v xml:space="preserve"> </v>
      </c>
      <c r="P89" s="50" t="str">
        <f>IF(P87&gt;=1,$B$2,$B$5)</f>
        <v xml:space="preserve"> </v>
      </c>
      <c r="Q89" s="50"/>
    </row>
    <row r="90" spans="1:17" ht="15.75" hidden="1" x14ac:dyDescent="0.25">
      <c r="A90" s="49">
        <v>85</v>
      </c>
      <c r="B90" s="49" t="s">
        <v>244</v>
      </c>
      <c r="C90" s="53" t="str">
        <f>TRIM(N86&amp;M90&amp;N90&amp;O90&amp;P90&amp;Q90&amp;P86)</f>
        <v>Rs Only</v>
      </c>
      <c r="D90" s="50"/>
      <c r="E90" s="50"/>
      <c r="F90" s="50"/>
      <c r="G90" s="50"/>
      <c r="H90" s="50"/>
      <c r="I90" s="50"/>
      <c r="J90" s="50"/>
      <c r="K90" s="50"/>
      <c r="L90" s="50"/>
      <c r="M90" s="54" t="str">
        <f>M88&amp;L88&amp;M89</f>
        <v xml:space="preserve">   </v>
      </c>
      <c r="N90" s="54" t="str">
        <f>N88&amp;L88&amp;N89</f>
        <v xml:space="preserve">   </v>
      </c>
      <c r="O90" s="54" t="str">
        <f>O88&amp;L88&amp;O89</f>
        <v xml:space="preserve">   </v>
      </c>
      <c r="P90" s="54" t="str">
        <f>P88&amp;L88&amp;P89</f>
        <v xml:space="preserve">   </v>
      </c>
      <c r="Q90" s="54" t="str">
        <f>Q88&amp;L88&amp;Q89</f>
        <v xml:space="preserve">  </v>
      </c>
    </row>
    <row r="91" spans="1:17" x14ac:dyDescent="0.2">
      <c r="A91" s="49">
        <v>86</v>
      </c>
      <c r="B91" s="49" t="s">
        <v>245</v>
      </c>
      <c r="C91" s="50">
        <f>+R91</f>
        <v>0</v>
      </c>
      <c r="D91" s="50"/>
      <c r="E91" s="50"/>
      <c r="F91" s="50"/>
      <c r="G91" s="50"/>
      <c r="H91" s="50" t="s">
        <v>150</v>
      </c>
      <c r="I91" s="50"/>
      <c r="J91" s="50"/>
      <c r="K91" s="50"/>
      <c r="L91" s="50"/>
      <c r="M91" s="50"/>
      <c r="N91" s="51" t="s">
        <v>151</v>
      </c>
      <c r="O91" s="50"/>
      <c r="P91" s="51" t="s">
        <v>152</v>
      </c>
      <c r="Q91" s="50"/>
    </row>
    <row r="92" spans="1:17" hidden="1" x14ac:dyDescent="0.2">
      <c r="A92" s="49">
        <v>87</v>
      </c>
      <c r="B92" s="49" t="s">
        <v>246</v>
      </c>
      <c r="C92" s="50">
        <f>MOD(C91,100000)</f>
        <v>0</v>
      </c>
      <c r="D92" s="52">
        <f>ROUNDDOWN((MOD(C93,10000))/1000,0)</f>
        <v>0</v>
      </c>
      <c r="E92" s="52">
        <f>ROUNDDOWN((MOD(C93,1000))/100,0)</f>
        <v>0</v>
      </c>
      <c r="F92" s="52">
        <f>ROUNDDOWN((MOD(C93,100))/10,0)</f>
        <v>0</v>
      </c>
      <c r="G92" s="52">
        <f>MOD(C93,10)</f>
        <v>0</v>
      </c>
      <c r="H92" s="52">
        <f>ROUNDDOWN((MOD(C91,100000))/10000,0)</f>
        <v>0</v>
      </c>
      <c r="I92" s="52">
        <f>ROUNDDOWN((MOD(C91,10000))/1000,0)</f>
        <v>0</v>
      </c>
      <c r="J92" s="52">
        <f>ROUNDDOWN((MOD(C91,1000))/100,0)</f>
        <v>0</v>
      </c>
      <c r="K92" s="52">
        <f>ROUNDDOWN((MOD(C91,100))/10,0)</f>
        <v>0</v>
      </c>
      <c r="L92" s="52">
        <f>MOD(C91,10)</f>
        <v>0</v>
      </c>
      <c r="M92" s="52">
        <f>(D92*10)+E92</f>
        <v>0</v>
      </c>
      <c r="N92" s="52">
        <f>(F92*10)+G92</f>
        <v>0</v>
      </c>
      <c r="O92" s="52">
        <f>(H92*10)+I92</f>
        <v>0</v>
      </c>
      <c r="P92" s="50">
        <f>+J92</f>
        <v>0</v>
      </c>
      <c r="Q92" s="50">
        <f>K92*10+L92</f>
        <v>0</v>
      </c>
    </row>
    <row r="93" spans="1:17" hidden="1" x14ac:dyDescent="0.2">
      <c r="A93" s="49">
        <v>88</v>
      </c>
      <c r="B93" s="49" t="s">
        <v>247</v>
      </c>
      <c r="C93" s="50">
        <f>(C91-C92)/100000</f>
        <v>0</v>
      </c>
      <c r="D93" s="50"/>
      <c r="E93" s="50"/>
      <c r="F93" s="50"/>
      <c r="G93" s="50"/>
      <c r="H93" s="50"/>
      <c r="I93" s="50"/>
      <c r="J93" s="50"/>
      <c r="K93" s="50"/>
      <c r="L93" s="51" t="s">
        <v>157</v>
      </c>
      <c r="M93" s="50" t="str">
        <f>VLOOKUP(M92,$A$5:$B$104,2)</f>
        <v xml:space="preserve"> </v>
      </c>
      <c r="N93" s="50" t="str">
        <f>VLOOKUP(N92,$A$5:$B$104,2)</f>
        <v xml:space="preserve"> </v>
      </c>
      <c r="O93" s="50" t="str">
        <f>VLOOKUP(O92,$A$5:$B$104,2)</f>
        <v xml:space="preserve"> </v>
      </c>
      <c r="P93" s="50" t="str">
        <f>VLOOKUP(P92,$A$5:$B$104,2)</f>
        <v xml:space="preserve"> </v>
      </c>
      <c r="Q93" s="50" t="str">
        <f>VLOOKUP(Q92,$A$5:$B$104,2)</f>
        <v xml:space="preserve"> </v>
      </c>
    </row>
    <row r="94" spans="1:17" hidden="1" x14ac:dyDescent="0.2">
      <c r="A94" s="49">
        <v>89</v>
      </c>
      <c r="B94" s="49" t="s">
        <v>248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 t="str">
        <f>IF(M92&gt;=1,$B$4,$B$5)</f>
        <v xml:space="preserve"> </v>
      </c>
      <c r="N94" s="50" t="str">
        <f>IF(N92&gt;=1,$B$3,$B$5)</f>
        <v xml:space="preserve"> </v>
      </c>
      <c r="O94" s="50" t="str">
        <f>IF(O92&gt;=1,$B$1,$B$5)</f>
        <v xml:space="preserve"> </v>
      </c>
      <c r="P94" s="50" t="str">
        <f>IF(P92&gt;=1,$B$2,$B$5)</f>
        <v xml:space="preserve"> </v>
      </c>
      <c r="Q94" s="50"/>
    </row>
    <row r="95" spans="1:17" ht="15.75" hidden="1" x14ac:dyDescent="0.25">
      <c r="A95" s="49">
        <v>90</v>
      </c>
      <c r="B95" s="49" t="s">
        <v>249</v>
      </c>
      <c r="C95" s="53" t="str">
        <f>TRIM(N91&amp;M95&amp;N95&amp;O95&amp;P95&amp;Q95&amp;P91)</f>
        <v>Rs Only</v>
      </c>
      <c r="D95" s="50"/>
      <c r="E95" s="50"/>
      <c r="F95" s="50"/>
      <c r="G95" s="50"/>
      <c r="H95" s="50"/>
      <c r="I95" s="50"/>
      <c r="J95" s="50"/>
      <c r="K95" s="50"/>
      <c r="L95" s="50"/>
      <c r="M95" s="54" t="str">
        <f>M93&amp;L93&amp;M94</f>
        <v xml:space="preserve">   </v>
      </c>
      <c r="N95" s="54" t="str">
        <f>N93&amp;L93&amp;N94</f>
        <v xml:space="preserve">   </v>
      </c>
      <c r="O95" s="54" t="str">
        <f>O93&amp;L93&amp;O94</f>
        <v xml:space="preserve">   </v>
      </c>
      <c r="P95" s="54" t="str">
        <f>P93&amp;L93&amp;P94</f>
        <v xml:space="preserve">   </v>
      </c>
      <c r="Q95" s="54" t="str">
        <f>Q93&amp;L93&amp;Q94</f>
        <v xml:space="preserve">  </v>
      </c>
    </row>
    <row r="96" spans="1:17" x14ac:dyDescent="0.2">
      <c r="A96" s="49">
        <v>91</v>
      </c>
      <c r="B96" s="49" t="s">
        <v>250</v>
      </c>
      <c r="C96" s="50">
        <f>+R96</f>
        <v>0</v>
      </c>
      <c r="D96" s="50"/>
      <c r="E96" s="50"/>
      <c r="F96" s="50"/>
      <c r="G96" s="50"/>
      <c r="H96" s="50" t="s">
        <v>150</v>
      </c>
      <c r="I96" s="50"/>
      <c r="J96" s="50"/>
      <c r="K96" s="50"/>
      <c r="L96" s="50"/>
      <c r="M96" s="50"/>
      <c r="N96" s="51" t="s">
        <v>151</v>
      </c>
      <c r="O96" s="50"/>
      <c r="P96" s="51" t="s">
        <v>152</v>
      </c>
      <c r="Q96" s="50"/>
    </row>
    <row r="97" spans="1:17" hidden="1" x14ac:dyDescent="0.2">
      <c r="A97" s="49">
        <v>92</v>
      </c>
      <c r="B97" s="49" t="s">
        <v>251</v>
      </c>
      <c r="C97" s="50">
        <f>MOD(C96,100000)</f>
        <v>0</v>
      </c>
      <c r="D97" s="52">
        <f>ROUNDDOWN((MOD(C98,10000))/1000,0)</f>
        <v>0</v>
      </c>
      <c r="E97" s="52">
        <f>ROUNDDOWN((MOD(C98,1000))/100,0)</f>
        <v>0</v>
      </c>
      <c r="F97" s="52">
        <f>ROUNDDOWN((MOD(C98,100))/10,0)</f>
        <v>0</v>
      </c>
      <c r="G97" s="52">
        <f>MOD(C98,10)</f>
        <v>0</v>
      </c>
      <c r="H97" s="52">
        <f>ROUNDDOWN((MOD(C96,100000))/10000,0)</f>
        <v>0</v>
      </c>
      <c r="I97" s="52">
        <f>ROUNDDOWN((MOD(C96,10000))/1000,0)</f>
        <v>0</v>
      </c>
      <c r="J97" s="52">
        <f>ROUNDDOWN((MOD(C96,1000))/100,0)</f>
        <v>0</v>
      </c>
      <c r="K97" s="52">
        <f>ROUNDDOWN((MOD(C96,100))/10,0)</f>
        <v>0</v>
      </c>
      <c r="L97" s="52">
        <f>MOD(C96,10)</f>
        <v>0</v>
      </c>
      <c r="M97" s="52">
        <f>(D97*10)+E97</f>
        <v>0</v>
      </c>
      <c r="N97" s="52">
        <f>(F97*10)+G97</f>
        <v>0</v>
      </c>
      <c r="O97" s="52">
        <f>(H97*10)+I97</f>
        <v>0</v>
      </c>
      <c r="P97" s="50">
        <f>+J97</f>
        <v>0</v>
      </c>
      <c r="Q97" s="50">
        <f>K97*10+L97</f>
        <v>0</v>
      </c>
    </row>
    <row r="98" spans="1:17" hidden="1" x14ac:dyDescent="0.2">
      <c r="A98" s="49">
        <v>93</v>
      </c>
      <c r="B98" s="49" t="s">
        <v>252</v>
      </c>
      <c r="C98" s="50">
        <f>(C96-C97)/100000</f>
        <v>0</v>
      </c>
      <c r="D98" s="50"/>
      <c r="E98" s="50"/>
      <c r="F98" s="50"/>
      <c r="G98" s="50"/>
      <c r="H98" s="50"/>
      <c r="I98" s="50"/>
      <c r="J98" s="50"/>
      <c r="K98" s="50"/>
      <c r="L98" s="51" t="s">
        <v>157</v>
      </c>
      <c r="M98" s="50" t="str">
        <f>VLOOKUP(M97,$A$5:$B$104,2)</f>
        <v xml:space="preserve"> </v>
      </c>
      <c r="N98" s="50" t="str">
        <f>VLOOKUP(N97,$A$5:$B$104,2)</f>
        <v xml:space="preserve"> </v>
      </c>
      <c r="O98" s="50" t="str">
        <f>VLOOKUP(O97,$A$5:$B$104,2)</f>
        <v xml:space="preserve"> </v>
      </c>
      <c r="P98" s="50" t="str">
        <f>VLOOKUP(P97,$A$5:$B$104,2)</f>
        <v xml:space="preserve"> </v>
      </c>
      <c r="Q98" s="50" t="str">
        <f>VLOOKUP(Q97,$A$5:$B$104,2)</f>
        <v xml:space="preserve"> </v>
      </c>
    </row>
    <row r="99" spans="1:17" hidden="1" x14ac:dyDescent="0.2">
      <c r="A99" s="49">
        <v>94</v>
      </c>
      <c r="B99" s="49" t="s">
        <v>253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 t="str">
        <f>IF(M97&gt;=1,$B$4,$B$5)</f>
        <v xml:space="preserve"> </v>
      </c>
      <c r="N99" s="50" t="str">
        <f>IF(N97&gt;=1,$B$3,$B$5)</f>
        <v xml:space="preserve"> </v>
      </c>
      <c r="O99" s="50" t="str">
        <f>IF(O97&gt;=1,$B$1,$B$5)</f>
        <v xml:space="preserve"> </v>
      </c>
      <c r="P99" s="50" t="str">
        <f>IF(P97&gt;=1,$B$2,$B$5)</f>
        <v xml:space="preserve"> </v>
      </c>
      <c r="Q99" s="50"/>
    </row>
    <row r="100" spans="1:17" ht="15.75" hidden="1" x14ac:dyDescent="0.25">
      <c r="A100" s="49">
        <v>95</v>
      </c>
      <c r="B100" s="49" t="s">
        <v>254</v>
      </c>
      <c r="C100" s="53" t="str">
        <f>TRIM(N96&amp;M100&amp;N100&amp;O100&amp;P100&amp;Q100&amp;P96)</f>
        <v>Rs Only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4" t="str">
        <f>M98&amp;L98&amp;M99</f>
        <v xml:space="preserve">   </v>
      </c>
      <c r="N100" s="54" t="str">
        <f>N98&amp;L98&amp;N99</f>
        <v xml:space="preserve">   </v>
      </c>
      <c r="O100" s="54" t="str">
        <f>O98&amp;L98&amp;O99</f>
        <v xml:space="preserve">   </v>
      </c>
      <c r="P100" s="54" t="str">
        <f>P98&amp;L98&amp;P99</f>
        <v xml:space="preserve">   </v>
      </c>
      <c r="Q100" s="54" t="str">
        <f>Q98&amp;L98&amp;Q99</f>
        <v xml:space="preserve">  </v>
      </c>
    </row>
    <row r="101" spans="1:17" x14ac:dyDescent="0.2">
      <c r="A101" s="49">
        <v>96</v>
      </c>
      <c r="B101" s="49" t="s">
        <v>255</v>
      </c>
      <c r="C101" s="50">
        <f>+R101</f>
        <v>0</v>
      </c>
      <c r="D101" s="50"/>
      <c r="E101" s="50"/>
      <c r="F101" s="50"/>
      <c r="G101" s="50"/>
      <c r="H101" s="50" t="s">
        <v>150</v>
      </c>
      <c r="I101" s="50"/>
      <c r="J101" s="50"/>
      <c r="K101" s="50"/>
      <c r="L101" s="50"/>
      <c r="M101" s="50"/>
      <c r="N101" s="51" t="s">
        <v>151</v>
      </c>
      <c r="O101" s="50"/>
      <c r="P101" s="51" t="s">
        <v>152</v>
      </c>
      <c r="Q101" s="50"/>
    </row>
    <row r="102" spans="1:17" hidden="1" x14ac:dyDescent="0.2">
      <c r="A102" s="49">
        <v>97</v>
      </c>
      <c r="B102" s="49" t="s">
        <v>256</v>
      </c>
      <c r="C102" s="50">
        <f>MOD(C101,100000)</f>
        <v>0</v>
      </c>
      <c r="D102" s="52">
        <f>ROUNDDOWN((MOD(C103,10000))/1000,0)</f>
        <v>0</v>
      </c>
      <c r="E102" s="52">
        <f>ROUNDDOWN((MOD(C103,1000))/100,0)</f>
        <v>0</v>
      </c>
      <c r="F102" s="52">
        <f>ROUNDDOWN((MOD(C103,100))/10,0)</f>
        <v>0</v>
      </c>
      <c r="G102" s="52">
        <f>MOD(C103,10)</f>
        <v>0</v>
      </c>
      <c r="H102" s="52">
        <f>ROUNDDOWN((MOD(C101,100000))/10000,0)</f>
        <v>0</v>
      </c>
      <c r="I102" s="52">
        <f>ROUNDDOWN((MOD(C101,10000))/1000,0)</f>
        <v>0</v>
      </c>
      <c r="J102" s="52">
        <f>ROUNDDOWN((MOD(C101,1000))/100,0)</f>
        <v>0</v>
      </c>
      <c r="K102" s="52">
        <f>ROUNDDOWN((MOD(C101,100))/10,0)</f>
        <v>0</v>
      </c>
      <c r="L102" s="52">
        <f>MOD(C101,10)</f>
        <v>0</v>
      </c>
      <c r="M102" s="52">
        <f>(D102*10)+E102</f>
        <v>0</v>
      </c>
      <c r="N102" s="52">
        <f>(F102*10)+G102</f>
        <v>0</v>
      </c>
      <c r="O102" s="52">
        <f>(H102*10)+I102</f>
        <v>0</v>
      </c>
      <c r="P102" s="50">
        <f>+J102</f>
        <v>0</v>
      </c>
      <c r="Q102" s="50">
        <f>K102*10+L102</f>
        <v>0</v>
      </c>
    </row>
    <row r="103" spans="1:17" hidden="1" x14ac:dyDescent="0.2">
      <c r="A103" s="49">
        <v>98</v>
      </c>
      <c r="B103" s="49" t="s">
        <v>257</v>
      </c>
      <c r="C103" s="50">
        <f>(C101-C102)/100000</f>
        <v>0</v>
      </c>
      <c r="D103" s="50"/>
      <c r="E103" s="50"/>
      <c r="F103" s="50"/>
      <c r="G103" s="50"/>
      <c r="H103" s="50"/>
      <c r="I103" s="50"/>
      <c r="J103" s="50"/>
      <c r="K103" s="50"/>
      <c r="L103" s="51" t="s">
        <v>157</v>
      </c>
      <c r="M103" s="50" t="str">
        <f>VLOOKUP(M102,$A$5:$B$104,2)</f>
        <v xml:space="preserve"> </v>
      </c>
      <c r="N103" s="50" t="str">
        <f>VLOOKUP(N102,$A$5:$B$104,2)</f>
        <v xml:space="preserve"> </v>
      </c>
      <c r="O103" s="50" t="str">
        <f>VLOOKUP(O102,$A$5:$B$104,2)</f>
        <v xml:space="preserve"> </v>
      </c>
      <c r="P103" s="50" t="str">
        <f>VLOOKUP(P102,$A$5:$B$104,2)</f>
        <v xml:space="preserve"> </v>
      </c>
      <c r="Q103" s="50" t="str">
        <f>VLOOKUP(Q102,$A$5:$B$104,2)</f>
        <v xml:space="preserve"> </v>
      </c>
    </row>
    <row r="104" spans="1:17" hidden="1" x14ac:dyDescent="0.2">
      <c r="A104" s="49">
        <v>99</v>
      </c>
      <c r="B104" s="49" t="s">
        <v>258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 t="str">
        <f>IF(M102&gt;=1,$B$4,$B$5)</f>
        <v xml:space="preserve"> </v>
      </c>
      <c r="N104" s="50" t="str">
        <f>IF(N102&gt;=1,$B$3,$B$5)</f>
        <v xml:space="preserve"> </v>
      </c>
      <c r="O104" s="50" t="str">
        <f>IF(O102&gt;=1,$B$1,$B$5)</f>
        <v xml:space="preserve"> </v>
      </c>
      <c r="P104" s="50" t="str">
        <f>IF(P102&gt;=1,$B$2,$B$5)</f>
        <v xml:space="preserve"> </v>
      </c>
      <c r="Q104" s="50"/>
    </row>
    <row r="105" spans="1:17" ht="15.75" hidden="1" x14ac:dyDescent="0.25">
      <c r="A105" s="49">
        <v>100</v>
      </c>
      <c r="B105" s="49" t="s">
        <v>259</v>
      </c>
      <c r="C105" s="53" t="str">
        <f>TRIM(N101&amp;M105&amp;N105&amp;O105&amp;P105&amp;Q105&amp;P101)</f>
        <v>Rs Only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4" t="str">
        <f>M103&amp;L103&amp;M104</f>
        <v xml:space="preserve">   </v>
      </c>
      <c r="N105" s="54" t="str">
        <f>N103&amp;L103&amp;N104</f>
        <v xml:space="preserve">   </v>
      </c>
      <c r="O105" s="54" t="str">
        <f>O103&amp;L103&amp;O104</f>
        <v xml:space="preserve">   </v>
      </c>
      <c r="P105" s="54" t="str">
        <f>P103&amp;L103&amp;P104</f>
        <v xml:space="preserve">   </v>
      </c>
      <c r="Q105" s="54" t="str">
        <f>Q103&amp;L103&amp;Q104</f>
        <v xml:space="preserve">  </v>
      </c>
    </row>
    <row r="106" spans="1:17" x14ac:dyDescent="0.2">
      <c r="C106" s="50">
        <f>+R106</f>
        <v>0</v>
      </c>
      <c r="D106" s="50"/>
      <c r="E106" s="50"/>
      <c r="F106" s="50"/>
      <c r="G106" s="50"/>
      <c r="H106" s="50" t="s">
        <v>150</v>
      </c>
      <c r="I106" s="50"/>
      <c r="J106" s="50"/>
      <c r="K106" s="50"/>
      <c r="L106" s="50"/>
      <c r="M106" s="50"/>
      <c r="N106" s="51" t="s">
        <v>151</v>
      </c>
      <c r="O106" s="50"/>
      <c r="P106" s="51" t="s">
        <v>152</v>
      </c>
      <c r="Q106" s="50"/>
    </row>
    <row r="107" spans="1:17" hidden="1" x14ac:dyDescent="0.2">
      <c r="C107" s="50">
        <f>MOD(C106,100000)</f>
        <v>0</v>
      </c>
      <c r="D107" s="52">
        <f>ROUNDDOWN((MOD(C108,10000))/1000,0)</f>
        <v>0</v>
      </c>
      <c r="E107" s="52">
        <f>ROUNDDOWN((MOD(C108,1000))/100,0)</f>
        <v>0</v>
      </c>
      <c r="F107" s="52">
        <f>ROUNDDOWN((MOD(C108,100))/10,0)</f>
        <v>0</v>
      </c>
      <c r="G107" s="52">
        <f>MOD(C108,10)</f>
        <v>0</v>
      </c>
      <c r="H107" s="52">
        <f>ROUNDDOWN((MOD(C106,100000))/10000,0)</f>
        <v>0</v>
      </c>
      <c r="I107" s="52">
        <f>ROUNDDOWN((MOD(C106,10000))/1000,0)</f>
        <v>0</v>
      </c>
      <c r="J107" s="52">
        <f>ROUNDDOWN((MOD(C106,1000))/100,0)</f>
        <v>0</v>
      </c>
      <c r="K107" s="52">
        <f>ROUNDDOWN((MOD(C106,100))/10,0)</f>
        <v>0</v>
      </c>
      <c r="L107" s="52">
        <f>MOD(C106,10)</f>
        <v>0</v>
      </c>
      <c r="M107" s="52">
        <f>(D107*10)+E107</f>
        <v>0</v>
      </c>
      <c r="N107" s="52">
        <f>(F107*10)+G107</f>
        <v>0</v>
      </c>
      <c r="O107" s="52">
        <f>(H107*10)+I107</f>
        <v>0</v>
      </c>
      <c r="P107" s="50">
        <f>+J107</f>
        <v>0</v>
      </c>
      <c r="Q107" s="50">
        <f>K107*10+L107</f>
        <v>0</v>
      </c>
    </row>
    <row r="108" spans="1:17" hidden="1" x14ac:dyDescent="0.2">
      <c r="C108" s="50">
        <f>(C106-C107)/100000</f>
        <v>0</v>
      </c>
      <c r="D108" s="50"/>
      <c r="E108" s="50"/>
      <c r="F108" s="50"/>
      <c r="G108" s="50"/>
      <c r="H108" s="50"/>
      <c r="I108" s="50"/>
      <c r="J108" s="50"/>
      <c r="K108" s="50"/>
      <c r="L108" s="51" t="s">
        <v>157</v>
      </c>
      <c r="M108" s="50" t="str">
        <f>VLOOKUP(M107,$A$5:$B$104,2)</f>
        <v xml:space="preserve"> </v>
      </c>
      <c r="N108" s="50" t="str">
        <f>VLOOKUP(N107,$A$5:$B$104,2)</f>
        <v xml:space="preserve"> </v>
      </c>
      <c r="O108" s="50" t="str">
        <f>VLOOKUP(O107,$A$5:$B$104,2)</f>
        <v xml:space="preserve"> </v>
      </c>
      <c r="P108" s="50" t="str">
        <f>VLOOKUP(P107,$A$5:$B$104,2)</f>
        <v xml:space="preserve"> </v>
      </c>
      <c r="Q108" s="50" t="str">
        <f>VLOOKUP(Q107,$A$5:$B$104,2)</f>
        <v xml:space="preserve"> </v>
      </c>
    </row>
    <row r="109" spans="1:17" hidden="1" x14ac:dyDescent="0.2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 t="str">
        <f>IF(M107&gt;=1,$B$4,$B$5)</f>
        <v xml:space="preserve"> </v>
      </c>
      <c r="N109" s="50" t="str">
        <f>IF(N107&gt;=1,$B$3,$B$5)</f>
        <v xml:space="preserve"> </v>
      </c>
      <c r="O109" s="50" t="str">
        <f>IF(O107&gt;=1,$B$1,$B$5)</f>
        <v xml:space="preserve"> </v>
      </c>
      <c r="P109" s="50" t="str">
        <f>IF(P107&gt;=1,$B$2,$B$5)</f>
        <v xml:space="preserve"> </v>
      </c>
      <c r="Q109" s="50"/>
    </row>
    <row r="110" spans="1:17" ht="15.75" hidden="1" x14ac:dyDescent="0.25">
      <c r="C110" s="53" t="str">
        <f>TRIM(N106&amp;M110&amp;N110&amp;O110&amp;P110&amp;Q110&amp;P106)</f>
        <v>Rs Only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4" t="str">
        <f>M108&amp;L108&amp;M109</f>
        <v xml:space="preserve">   </v>
      </c>
      <c r="N110" s="54" t="str">
        <f>N108&amp;L108&amp;N109</f>
        <v xml:space="preserve">   </v>
      </c>
      <c r="O110" s="54" t="str">
        <f>O108&amp;L108&amp;O109</f>
        <v xml:space="preserve">   </v>
      </c>
      <c r="P110" s="54" t="str">
        <f>P108&amp;L108&amp;P109</f>
        <v xml:space="preserve">   </v>
      </c>
      <c r="Q110" s="54" t="str">
        <f>Q108&amp;L108&amp;Q109</f>
        <v xml:space="preserve">  </v>
      </c>
    </row>
    <row r="111" spans="1:17" x14ac:dyDescent="0.2">
      <c r="C111" s="50">
        <f>+R111</f>
        <v>0</v>
      </c>
      <c r="D111" s="50"/>
      <c r="E111" s="50"/>
      <c r="F111" s="50"/>
      <c r="G111" s="50"/>
      <c r="H111" s="50" t="s">
        <v>150</v>
      </c>
      <c r="I111" s="50"/>
      <c r="J111" s="50"/>
      <c r="K111" s="50"/>
      <c r="L111" s="50"/>
      <c r="M111" s="50"/>
      <c r="N111" s="51" t="s">
        <v>151</v>
      </c>
      <c r="O111" s="50"/>
      <c r="P111" s="51" t="s">
        <v>152</v>
      </c>
      <c r="Q111" s="50"/>
    </row>
    <row r="112" spans="1:17" hidden="1" x14ac:dyDescent="0.2">
      <c r="C112" s="50">
        <f>MOD(C111,100000)</f>
        <v>0</v>
      </c>
      <c r="D112" s="52">
        <f>ROUNDDOWN((MOD(C113,10000))/1000,0)</f>
        <v>0</v>
      </c>
      <c r="E112" s="52">
        <f>ROUNDDOWN((MOD(C113,1000))/100,0)</f>
        <v>0</v>
      </c>
      <c r="F112" s="52">
        <f>ROUNDDOWN((MOD(C113,100))/10,0)</f>
        <v>0</v>
      </c>
      <c r="G112" s="52">
        <f>MOD(C113,10)</f>
        <v>0</v>
      </c>
      <c r="H112" s="52">
        <f>ROUNDDOWN((MOD(C111,100000))/10000,0)</f>
        <v>0</v>
      </c>
      <c r="I112" s="52">
        <f>ROUNDDOWN((MOD(C111,10000))/1000,0)</f>
        <v>0</v>
      </c>
      <c r="J112" s="52">
        <f>ROUNDDOWN((MOD(C111,1000))/100,0)</f>
        <v>0</v>
      </c>
      <c r="K112" s="52">
        <f>ROUNDDOWN((MOD(C111,100))/10,0)</f>
        <v>0</v>
      </c>
      <c r="L112" s="52">
        <f>MOD(C111,10)</f>
        <v>0</v>
      </c>
      <c r="M112" s="52">
        <f>(D112*10)+E112</f>
        <v>0</v>
      </c>
      <c r="N112" s="52">
        <f>(F112*10)+G112</f>
        <v>0</v>
      </c>
      <c r="O112" s="52">
        <f>(H112*10)+I112</f>
        <v>0</v>
      </c>
      <c r="P112" s="50">
        <f>+J112</f>
        <v>0</v>
      </c>
      <c r="Q112" s="50">
        <f>K112*10+L112</f>
        <v>0</v>
      </c>
    </row>
    <row r="113" spans="3:17" hidden="1" x14ac:dyDescent="0.2">
      <c r="C113" s="50">
        <f>(C111-C112)/100000</f>
        <v>0</v>
      </c>
      <c r="D113" s="50"/>
      <c r="E113" s="50"/>
      <c r="F113" s="50"/>
      <c r="G113" s="50"/>
      <c r="H113" s="50"/>
      <c r="I113" s="50"/>
      <c r="J113" s="50"/>
      <c r="K113" s="50"/>
      <c r="L113" s="51" t="s">
        <v>157</v>
      </c>
      <c r="M113" s="50" t="str">
        <f>VLOOKUP(M112,$A$5:$B$104,2)</f>
        <v xml:space="preserve"> </v>
      </c>
      <c r="N113" s="50" t="str">
        <f>VLOOKUP(N112,$A$5:$B$104,2)</f>
        <v xml:space="preserve"> </v>
      </c>
      <c r="O113" s="50" t="str">
        <f>VLOOKUP(O112,$A$5:$B$104,2)</f>
        <v xml:space="preserve"> </v>
      </c>
      <c r="P113" s="50" t="str">
        <f>VLOOKUP(P112,$A$5:$B$104,2)</f>
        <v xml:space="preserve"> </v>
      </c>
      <c r="Q113" s="50" t="str">
        <f>VLOOKUP(Q112,$A$5:$B$104,2)</f>
        <v xml:space="preserve"> </v>
      </c>
    </row>
    <row r="114" spans="3:17" hidden="1" x14ac:dyDescent="0.2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 t="str">
        <f>IF(M112&gt;=1,$B$4,$B$5)</f>
        <v xml:space="preserve"> </v>
      </c>
      <c r="N114" s="50" t="str">
        <f>IF(N112&gt;=1,$B$3,$B$5)</f>
        <v xml:space="preserve"> </v>
      </c>
      <c r="O114" s="50" t="str">
        <f>IF(O112&gt;=1,$B$1,$B$5)</f>
        <v xml:space="preserve"> </v>
      </c>
      <c r="P114" s="50" t="str">
        <f>IF(P112&gt;=1,$B$2,$B$5)</f>
        <v xml:space="preserve"> </v>
      </c>
      <c r="Q114" s="50"/>
    </row>
    <row r="115" spans="3:17" ht="15.75" hidden="1" x14ac:dyDescent="0.25">
      <c r="C115" s="53" t="str">
        <f>TRIM(N111&amp;M115&amp;N115&amp;O115&amp;P115&amp;Q115&amp;P111)</f>
        <v>Rs Only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4" t="str">
        <f>M113&amp;L113&amp;M114</f>
        <v xml:space="preserve">   </v>
      </c>
      <c r="N115" s="54" t="str">
        <f>N113&amp;L113&amp;N114</f>
        <v xml:space="preserve">   </v>
      </c>
      <c r="O115" s="54" t="str">
        <f>O113&amp;L113&amp;O114</f>
        <v xml:space="preserve">   </v>
      </c>
      <c r="P115" s="54" t="str">
        <f>P113&amp;L113&amp;P114</f>
        <v xml:space="preserve">   </v>
      </c>
      <c r="Q115" s="54" t="str">
        <f>Q113&amp;L113&amp;Q114</f>
        <v xml:space="preserve">  </v>
      </c>
    </row>
    <row r="116" spans="3:17" x14ac:dyDescent="0.2">
      <c r="C116" s="50">
        <f>+R116</f>
        <v>0</v>
      </c>
      <c r="D116" s="50"/>
      <c r="E116" s="50"/>
      <c r="F116" s="50"/>
      <c r="G116" s="50"/>
      <c r="H116" s="50" t="s">
        <v>150</v>
      </c>
      <c r="I116" s="50"/>
      <c r="J116" s="50"/>
      <c r="K116" s="50"/>
      <c r="L116" s="50"/>
      <c r="M116" s="50"/>
      <c r="N116" s="51" t="s">
        <v>151</v>
      </c>
      <c r="O116" s="50"/>
      <c r="P116" s="51" t="s">
        <v>152</v>
      </c>
      <c r="Q116" s="50"/>
    </row>
    <row r="117" spans="3:17" hidden="1" x14ac:dyDescent="0.2">
      <c r="C117" s="50">
        <f>MOD(C116,100000)</f>
        <v>0</v>
      </c>
      <c r="D117" s="52">
        <f>ROUNDDOWN((MOD(C118,10000))/1000,0)</f>
        <v>0</v>
      </c>
      <c r="E117" s="52">
        <f>ROUNDDOWN((MOD(C118,1000))/100,0)</f>
        <v>0</v>
      </c>
      <c r="F117" s="52">
        <f>ROUNDDOWN((MOD(C118,100))/10,0)</f>
        <v>0</v>
      </c>
      <c r="G117" s="52">
        <f>MOD(C118,10)</f>
        <v>0</v>
      </c>
      <c r="H117" s="52">
        <f>ROUNDDOWN((MOD(C116,100000))/10000,0)</f>
        <v>0</v>
      </c>
      <c r="I117" s="52">
        <f>ROUNDDOWN((MOD(C116,10000))/1000,0)</f>
        <v>0</v>
      </c>
      <c r="J117" s="52">
        <f>ROUNDDOWN((MOD(C116,1000))/100,0)</f>
        <v>0</v>
      </c>
      <c r="K117" s="52">
        <f>ROUNDDOWN((MOD(C116,100))/10,0)</f>
        <v>0</v>
      </c>
      <c r="L117" s="52">
        <f>MOD(C116,10)</f>
        <v>0</v>
      </c>
      <c r="M117" s="52">
        <f>(D117*10)+E117</f>
        <v>0</v>
      </c>
      <c r="N117" s="52">
        <f>(F117*10)+G117</f>
        <v>0</v>
      </c>
      <c r="O117" s="52">
        <f>(H117*10)+I117</f>
        <v>0</v>
      </c>
      <c r="P117" s="50">
        <f>+J117</f>
        <v>0</v>
      </c>
      <c r="Q117" s="50">
        <f>K117*10+L117</f>
        <v>0</v>
      </c>
    </row>
    <row r="118" spans="3:17" hidden="1" x14ac:dyDescent="0.2">
      <c r="C118" s="50">
        <f>(C116-C117)/100000</f>
        <v>0</v>
      </c>
      <c r="D118" s="50"/>
      <c r="E118" s="50"/>
      <c r="F118" s="50"/>
      <c r="G118" s="50"/>
      <c r="H118" s="50"/>
      <c r="I118" s="50"/>
      <c r="J118" s="50"/>
      <c r="K118" s="50"/>
      <c r="L118" s="51" t="s">
        <v>157</v>
      </c>
      <c r="M118" s="50" t="str">
        <f>VLOOKUP(M117,$A$5:$B$104,2)</f>
        <v xml:space="preserve"> </v>
      </c>
      <c r="N118" s="50" t="str">
        <f>VLOOKUP(N117,$A$5:$B$104,2)</f>
        <v xml:space="preserve"> </v>
      </c>
      <c r="O118" s="50" t="str">
        <f>VLOOKUP(O117,$A$5:$B$104,2)</f>
        <v xml:space="preserve"> </v>
      </c>
      <c r="P118" s="50" t="str">
        <f>VLOOKUP(P117,$A$5:$B$104,2)</f>
        <v xml:space="preserve"> </v>
      </c>
      <c r="Q118" s="50" t="str">
        <f>VLOOKUP(Q117,$A$5:$B$104,2)</f>
        <v xml:space="preserve"> </v>
      </c>
    </row>
    <row r="119" spans="3:17" hidden="1" x14ac:dyDescent="0.2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 t="str">
        <f>IF(M117&gt;=1,$B$4,$B$5)</f>
        <v xml:space="preserve"> </v>
      </c>
      <c r="N119" s="50" t="str">
        <f>IF(N117&gt;=1,$B$3,$B$5)</f>
        <v xml:space="preserve"> </v>
      </c>
      <c r="O119" s="50" t="str">
        <f>IF(O117&gt;=1,$B$1,$B$5)</f>
        <v xml:space="preserve"> </v>
      </c>
      <c r="P119" s="50" t="str">
        <f>IF(P117&gt;=1,$B$2,$B$5)</f>
        <v xml:space="preserve"> </v>
      </c>
      <c r="Q119" s="50"/>
    </row>
    <row r="120" spans="3:17" ht="15.75" hidden="1" x14ac:dyDescent="0.25">
      <c r="C120" s="53" t="str">
        <f>TRIM(N116&amp;M120&amp;N120&amp;O120&amp;P120&amp;Q120&amp;P116)</f>
        <v>Rs Only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4" t="str">
        <f>M118&amp;L118&amp;M119</f>
        <v xml:space="preserve">   </v>
      </c>
      <c r="N120" s="54" t="str">
        <f>N118&amp;L118&amp;N119</f>
        <v xml:space="preserve">   </v>
      </c>
      <c r="O120" s="54" t="str">
        <f>O118&amp;L118&amp;O119</f>
        <v xml:space="preserve">   </v>
      </c>
      <c r="P120" s="54" t="str">
        <f>P118&amp;L118&amp;P119</f>
        <v xml:space="preserve">   </v>
      </c>
      <c r="Q120" s="54" t="str">
        <f>Q118&amp;L118&amp;Q119</f>
        <v xml:space="preserve">  </v>
      </c>
    </row>
    <row r="121" spans="3:17" x14ac:dyDescent="0.2">
      <c r="C121" s="50">
        <f>+R121</f>
        <v>0</v>
      </c>
      <c r="D121" s="50"/>
      <c r="E121" s="50"/>
      <c r="F121" s="50"/>
      <c r="G121" s="50"/>
      <c r="H121" s="50" t="s">
        <v>150</v>
      </c>
      <c r="I121" s="50"/>
      <c r="J121" s="50"/>
      <c r="K121" s="50"/>
      <c r="L121" s="50"/>
      <c r="M121" s="50"/>
      <c r="N121" s="51" t="s">
        <v>151</v>
      </c>
      <c r="O121" s="50"/>
      <c r="P121" s="51" t="s">
        <v>152</v>
      </c>
      <c r="Q121" s="50"/>
    </row>
    <row r="122" spans="3:17" hidden="1" x14ac:dyDescent="0.2">
      <c r="C122" s="50">
        <f>MOD(C121,100000)</f>
        <v>0</v>
      </c>
      <c r="D122" s="52">
        <f>ROUNDDOWN((MOD(C123,10000))/1000,0)</f>
        <v>0</v>
      </c>
      <c r="E122" s="52">
        <f>ROUNDDOWN((MOD(C123,1000))/100,0)</f>
        <v>0</v>
      </c>
      <c r="F122" s="52">
        <f>ROUNDDOWN((MOD(C123,100))/10,0)</f>
        <v>0</v>
      </c>
      <c r="G122" s="52">
        <f>MOD(C123,10)</f>
        <v>0</v>
      </c>
      <c r="H122" s="52">
        <f>ROUNDDOWN((MOD(C121,100000))/10000,0)</f>
        <v>0</v>
      </c>
      <c r="I122" s="52">
        <f>ROUNDDOWN((MOD(C121,10000))/1000,0)</f>
        <v>0</v>
      </c>
      <c r="J122" s="52">
        <f>ROUNDDOWN((MOD(C121,1000))/100,0)</f>
        <v>0</v>
      </c>
      <c r="K122" s="52">
        <f>ROUNDDOWN((MOD(C121,100))/10,0)</f>
        <v>0</v>
      </c>
      <c r="L122" s="52">
        <f>MOD(C121,10)</f>
        <v>0</v>
      </c>
      <c r="M122" s="52">
        <f>(D122*10)+E122</f>
        <v>0</v>
      </c>
      <c r="N122" s="52">
        <f>(F122*10)+G122</f>
        <v>0</v>
      </c>
      <c r="O122" s="52">
        <f>(H122*10)+I122</f>
        <v>0</v>
      </c>
      <c r="P122" s="50">
        <f>+J122</f>
        <v>0</v>
      </c>
      <c r="Q122" s="50">
        <f>K122*10+L122</f>
        <v>0</v>
      </c>
    </row>
    <row r="123" spans="3:17" hidden="1" x14ac:dyDescent="0.2">
      <c r="C123" s="50">
        <f>(C121-C122)/100000</f>
        <v>0</v>
      </c>
      <c r="D123" s="50"/>
      <c r="E123" s="50"/>
      <c r="F123" s="50"/>
      <c r="G123" s="50"/>
      <c r="H123" s="50"/>
      <c r="I123" s="50"/>
      <c r="J123" s="50"/>
      <c r="K123" s="50"/>
      <c r="L123" s="51" t="s">
        <v>157</v>
      </c>
      <c r="M123" s="50" t="str">
        <f>VLOOKUP(M122,$A$5:$B$104,2)</f>
        <v xml:space="preserve"> </v>
      </c>
      <c r="N123" s="50" t="str">
        <f>VLOOKUP(N122,$A$5:$B$104,2)</f>
        <v xml:space="preserve"> </v>
      </c>
      <c r="O123" s="50" t="str">
        <f>VLOOKUP(O122,$A$5:$B$104,2)</f>
        <v xml:space="preserve"> </v>
      </c>
      <c r="P123" s="50" t="str">
        <f>VLOOKUP(P122,$A$5:$B$104,2)</f>
        <v xml:space="preserve"> </v>
      </c>
      <c r="Q123" s="50" t="str">
        <f>VLOOKUP(Q122,$A$5:$B$104,2)</f>
        <v xml:space="preserve"> </v>
      </c>
    </row>
    <row r="124" spans="3:17" hidden="1" x14ac:dyDescent="0.2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 t="str">
        <f>IF(M122&gt;=1,$B$4,$B$5)</f>
        <v xml:space="preserve"> </v>
      </c>
      <c r="N124" s="50" t="str">
        <f>IF(N122&gt;=1,$B$3,$B$5)</f>
        <v xml:space="preserve"> </v>
      </c>
      <c r="O124" s="50" t="str">
        <f>IF(O122&gt;=1,$B$1,$B$5)</f>
        <v xml:space="preserve"> </v>
      </c>
      <c r="P124" s="50" t="str">
        <f>IF(P122&gt;=1,$B$2,$B$5)</f>
        <v xml:space="preserve"> </v>
      </c>
      <c r="Q124" s="50"/>
    </row>
    <row r="125" spans="3:17" ht="15.75" hidden="1" x14ac:dyDescent="0.25">
      <c r="C125" s="53" t="str">
        <f>TRIM(N121&amp;M125&amp;N125&amp;O125&amp;P125&amp;Q125&amp;P121)</f>
        <v>Rs Only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4" t="str">
        <f>M123&amp;L123&amp;M124</f>
        <v xml:space="preserve">   </v>
      </c>
      <c r="N125" s="54" t="str">
        <f>N123&amp;L123&amp;N124</f>
        <v xml:space="preserve">   </v>
      </c>
      <c r="O125" s="54" t="str">
        <f>O123&amp;L123&amp;O124</f>
        <v xml:space="preserve">   </v>
      </c>
      <c r="P125" s="54" t="str">
        <f>P123&amp;L123&amp;P124</f>
        <v xml:space="preserve">   </v>
      </c>
      <c r="Q125" s="54" t="str">
        <f>Q123&amp;L123&amp;Q124</f>
        <v xml:space="preserve">  </v>
      </c>
    </row>
    <row r="126" spans="3:17" x14ac:dyDescent="0.2">
      <c r="C126" s="50">
        <f>+R126</f>
        <v>0</v>
      </c>
      <c r="D126" s="50"/>
      <c r="E126" s="50"/>
      <c r="F126" s="50"/>
      <c r="G126" s="50"/>
      <c r="H126" s="50" t="s">
        <v>150</v>
      </c>
      <c r="I126" s="50"/>
      <c r="J126" s="50"/>
      <c r="K126" s="50"/>
      <c r="L126" s="50"/>
      <c r="M126" s="50"/>
      <c r="N126" s="51" t="s">
        <v>151</v>
      </c>
      <c r="O126" s="50"/>
      <c r="P126" s="51" t="s">
        <v>152</v>
      </c>
      <c r="Q126" s="50"/>
    </row>
    <row r="127" spans="3:17" hidden="1" x14ac:dyDescent="0.2">
      <c r="C127" s="50">
        <f>MOD(C126,100000)</f>
        <v>0</v>
      </c>
      <c r="D127" s="52">
        <f>ROUNDDOWN((MOD(C128,10000))/1000,0)</f>
        <v>0</v>
      </c>
      <c r="E127" s="52">
        <f>ROUNDDOWN((MOD(C128,1000))/100,0)</f>
        <v>0</v>
      </c>
      <c r="F127" s="52">
        <f>ROUNDDOWN((MOD(C128,100))/10,0)</f>
        <v>0</v>
      </c>
      <c r="G127" s="52">
        <f>MOD(C128,10)</f>
        <v>0</v>
      </c>
      <c r="H127" s="52">
        <f>ROUNDDOWN((MOD(C126,100000))/10000,0)</f>
        <v>0</v>
      </c>
      <c r="I127" s="52">
        <f>ROUNDDOWN((MOD(C126,10000))/1000,0)</f>
        <v>0</v>
      </c>
      <c r="J127" s="52">
        <f>ROUNDDOWN((MOD(C126,1000))/100,0)</f>
        <v>0</v>
      </c>
      <c r="K127" s="52">
        <f>ROUNDDOWN((MOD(C126,100))/10,0)</f>
        <v>0</v>
      </c>
      <c r="L127" s="52">
        <f>MOD(C126,10)</f>
        <v>0</v>
      </c>
      <c r="M127" s="52">
        <f>(D127*10)+E127</f>
        <v>0</v>
      </c>
      <c r="N127" s="52">
        <f>(F127*10)+G127</f>
        <v>0</v>
      </c>
      <c r="O127" s="52">
        <f>(H127*10)+I127</f>
        <v>0</v>
      </c>
      <c r="P127" s="50">
        <f>+J127</f>
        <v>0</v>
      </c>
      <c r="Q127" s="50">
        <f>K127*10+L127</f>
        <v>0</v>
      </c>
    </row>
    <row r="128" spans="3:17" hidden="1" x14ac:dyDescent="0.2">
      <c r="C128" s="50">
        <f>(C126-C127)/100000</f>
        <v>0</v>
      </c>
      <c r="D128" s="50"/>
      <c r="E128" s="50"/>
      <c r="F128" s="50"/>
      <c r="G128" s="50"/>
      <c r="H128" s="50"/>
      <c r="I128" s="50"/>
      <c r="J128" s="50"/>
      <c r="K128" s="50"/>
      <c r="L128" s="51" t="s">
        <v>157</v>
      </c>
      <c r="M128" s="50" t="str">
        <f>VLOOKUP(M127,$A$5:$B$104,2)</f>
        <v xml:space="preserve"> </v>
      </c>
      <c r="N128" s="50" t="str">
        <f>VLOOKUP(N127,$A$5:$B$104,2)</f>
        <v xml:space="preserve"> </v>
      </c>
      <c r="O128" s="50" t="str">
        <f>VLOOKUP(O127,$A$5:$B$104,2)</f>
        <v xml:space="preserve"> </v>
      </c>
      <c r="P128" s="50" t="str">
        <f>VLOOKUP(P127,$A$5:$B$104,2)</f>
        <v xml:space="preserve"> </v>
      </c>
      <c r="Q128" s="50" t="str">
        <f>VLOOKUP(Q127,$A$5:$B$104,2)</f>
        <v xml:space="preserve"> </v>
      </c>
    </row>
    <row r="129" spans="3:17" hidden="1" x14ac:dyDescent="0.2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 t="str">
        <f>IF(M127&gt;=1,$B$4,$B$5)</f>
        <v xml:space="preserve"> </v>
      </c>
      <c r="N129" s="50" t="str">
        <f>IF(N127&gt;=1,$B$3,$B$5)</f>
        <v xml:space="preserve"> </v>
      </c>
      <c r="O129" s="50" t="str">
        <f>IF(O127&gt;=1,$B$1,$B$5)</f>
        <v xml:space="preserve"> </v>
      </c>
      <c r="P129" s="50" t="str">
        <f>IF(P127&gt;=1,$B$2,$B$5)</f>
        <v xml:space="preserve"> </v>
      </c>
      <c r="Q129" s="50"/>
    </row>
    <row r="130" spans="3:17" ht="15.75" hidden="1" x14ac:dyDescent="0.25">
      <c r="C130" s="53" t="str">
        <f>TRIM(N126&amp;M130&amp;N130&amp;O130&amp;P130&amp;Q130&amp;P126)</f>
        <v>Rs Only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4" t="str">
        <f>M128&amp;L128&amp;M129</f>
        <v xml:space="preserve">   </v>
      </c>
      <c r="N130" s="54" t="str">
        <f>N128&amp;L128&amp;N129</f>
        <v xml:space="preserve">   </v>
      </c>
      <c r="O130" s="54" t="str">
        <f>O128&amp;L128&amp;O129</f>
        <v xml:space="preserve">   </v>
      </c>
      <c r="P130" s="54" t="str">
        <f>P128&amp;L128&amp;P129</f>
        <v xml:space="preserve">   </v>
      </c>
      <c r="Q130" s="54" t="str">
        <f>Q128&amp;L128&amp;Q129</f>
        <v xml:space="preserve">  </v>
      </c>
    </row>
    <row r="131" spans="3:17" x14ac:dyDescent="0.2">
      <c r="C131" s="50">
        <f>+R131</f>
        <v>0</v>
      </c>
      <c r="D131" s="50"/>
      <c r="E131" s="50"/>
      <c r="F131" s="50"/>
      <c r="G131" s="50"/>
      <c r="H131" s="50" t="s">
        <v>150</v>
      </c>
      <c r="I131" s="50"/>
      <c r="J131" s="50"/>
      <c r="K131" s="50"/>
      <c r="L131" s="50"/>
      <c r="M131" s="50"/>
      <c r="N131" s="51" t="s">
        <v>151</v>
      </c>
      <c r="O131" s="50"/>
      <c r="P131" s="51" t="s">
        <v>152</v>
      </c>
      <c r="Q131" s="50"/>
    </row>
    <row r="132" spans="3:17" hidden="1" x14ac:dyDescent="0.2">
      <c r="C132" s="50">
        <f>MOD(C131,100000)</f>
        <v>0</v>
      </c>
      <c r="D132" s="52">
        <f>ROUNDDOWN((MOD(C133,10000))/1000,0)</f>
        <v>0</v>
      </c>
      <c r="E132" s="52">
        <f>ROUNDDOWN((MOD(C133,1000))/100,0)</f>
        <v>0</v>
      </c>
      <c r="F132" s="52">
        <f>ROUNDDOWN((MOD(C133,100))/10,0)</f>
        <v>0</v>
      </c>
      <c r="G132" s="52">
        <f>MOD(C133,10)</f>
        <v>0</v>
      </c>
      <c r="H132" s="52">
        <f>ROUNDDOWN((MOD(C131,100000))/10000,0)</f>
        <v>0</v>
      </c>
      <c r="I132" s="52">
        <f>ROUNDDOWN((MOD(C131,10000))/1000,0)</f>
        <v>0</v>
      </c>
      <c r="J132" s="52">
        <f>ROUNDDOWN((MOD(C131,1000))/100,0)</f>
        <v>0</v>
      </c>
      <c r="K132" s="52">
        <f>ROUNDDOWN((MOD(C131,100))/10,0)</f>
        <v>0</v>
      </c>
      <c r="L132" s="52">
        <f>MOD(C131,10)</f>
        <v>0</v>
      </c>
      <c r="M132" s="52">
        <f>(D132*10)+E132</f>
        <v>0</v>
      </c>
      <c r="N132" s="52">
        <f>(F132*10)+G132</f>
        <v>0</v>
      </c>
      <c r="O132" s="52">
        <f>(H132*10)+I132</f>
        <v>0</v>
      </c>
      <c r="P132" s="50">
        <f>+J132</f>
        <v>0</v>
      </c>
      <c r="Q132" s="50">
        <f>K132*10+L132</f>
        <v>0</v>
      </c>
    </row>
    <row r="133" spans="3:17" hidden="1" x14ac:dyDescent="0.2">
      <c r="C133" s="50">
        <f>(C131-C132)/100000</f>
        <v>0</v>
      </c>
      <c r="D133" s="50"/>
      <c r="E133" s="50"/>
      <c r="F133" s="50"/>
      <c r="G133" s="50"/>
      <c r="H133" s="50"/>
      <c r="I133" s="50"/>
      <c r="J133" s="50"/>
      <c r="K133" s="50"/>
      <c r="L133" s="51" t="s">
        <v>157</v>
      </c>
      <c r="M133" s="50" t="str">
        <f>VLOOKUP(M132,$A$5:$B$104,2)</f>
        <v xml:space="preserve"> </v>
      </c>
      <c r="N133" s="50" t="str">
        <f>VLOOKUP(N132,$A$5:$B$104,2)</f>
        <v xml:space="preserve"> </v>
      </c>
      <c r="O133" s="50" t="str">
        <f>VLOOKUP(O132,$A$5:$B$104,2)</f>
        <v xml:space="preserve"> </v>
      </c>
      <c r="P133" s="50" t="str">
        <f>VLOOKUP(P132,$A$5:$B$104,2)</f>
        <v xml:space="preserve"> </v>
      </c>
      <c r="Q133" s="50" t="str">
        <f>VLOOKUP(Q132,$A$5:$B$104,2)</f>
        <v xml:space="preserve"> </v>
      </c>
    </row>
    <row r="134" spans="3:17" hidden="1" x14ac:dyDescent="0.2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 t="str">
        <f>IF(M132&gt;=1,$B$4,$B$5)</f>
        <v xml:space="preserve"> </v>
      </c>
      <c r="N134" s="50" t="str">
        <f>IF(N132&gt;=1,$B$3,$B$5)</f>
        <v xml:space="preserve"> </v>
      </c>
      <c r="O134" s="50" t="str">
        <f>IF(O132&gt;=1,$B$1,$B$5)</f>
        <v xml:space="preserve"> </v>
      </c>
      <c r="P134" s="50" t="str">
        <f>IF(P132&gt;=1,$B$2,$B$5)</f>
        <v xml:space="preserve"> </v>
      </c>
      <c r="Q134" s="50"/>
    </row>
    <row r="135" spans="3:17" ht="15.75" hidden="1" x14ac:dyDescent="0.25">
      <c r="C135" s="53" t="str">
        <f>TRIM(N131&amp;M135&amp;N135&amp;O135&amp;P135&amp;Q135&amp;P131)</f>
        <v>Rs Only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4" t="str">
        <f>M133&amp;L133&amp;M134</f>
        <v xml:space="preserve">   </v>
      </c>
      <c r="N135" s="54" t="str">
        <f>N133&amp;L133&amp;N134</f>
        <v xml:space="preserve">   </v>
      </c>
      <c r="O135" s="54" t="str">
        <f>O133&amp;L133&amp;O134</f>
        <v xml:space="preserve">   </v>
      </c>
      <c r="P135" s="54" t="str">
        <f>P133&amp;L133&amp;P134</f>
        <v xml:space="preserve">   </v>
      </c>
      <c r="Q135" s="54" t="str">
        <f>Q133&amp;L133&amp;Q134</f>
        <v xml:space="preserve">  </v>
      </c>
    </row>
    <row r="136" spans="3:17" x14ac:dyDescent="0.2">
      <c r="C136" s="50">
        <f>+R136</f>
        <v>0</v>
      </c>
      <c r="D136" s="50"/>
      <c r="E136" s="50"/>
      <c r="F136" s="50"/>
      <c r="G136" s="50"/>
      <c r="H136" s="50" t="s">
        <v>150</v>
      </c>
      <c r="I136" s="50"/>
      <c r="J136" s="50"/>
      <c r="K136" s="50"/>
      <c r="L136" s="50"/>
      <c r="M136" s="50"/>
      <c r="N136" s="51" t="s">
        <v>151</v>
      </c>
      <c r="O136" s="50"/>
      <c r="P136" s="51" t="s">
        <v>152</v>
      </c>
      <c r="Q136" s="50"/>
    </row>
    <row r="137" spans="3:17" hidden="1" x14ac:dyDescent="0.2">
      <c r="C137" s="50">
        <f>MOD(C136,100000)</f>
        <v>0</v>
      </c>
      <c r="D137" s="52">
        <f>ROUNDDOWN((MOD(C138,10000))/1000,0)</f>
        <v>0</v>
      </c>
      <c r="E137" s="52">
        <f>ROUNDDOWN((MOD(C138,1000))/100,0)</f>
        <v>0</v>
      </c>
      <c r="F137" s="52">
        <f>ROUNDDOWN((MOD(C138,100))/10,0)</f>
        <v>0</v>
      </c>
      <c r="G137" s="52">
        <f>MOD(C138,10)</f>
        <v>0</v>
      </c>
      <c r="H137" s="52">
        <f>ROUNDDOWN((MOD(C136,100000))/10000,0)</f>
        <v>0</v>
      </c>
      <c r="I137" s="52">
        <f>ROUNDDOWN((MOD(C136,10000))/1000,0)</f>
        <v>0</v>
      </c>
      <c r="J137" s="52">
        <f>ROUNDDOWN((MOD(C136,1000))/100,0)</f>
        <v>0</v>
      </c>
      <c r="K137" s="52">
        <f>ROUNDDOWN((MOD(C136,100))/10,0)</f>
        <v>0</v>
      </c>
      <c r="L137" s="52">
        <f>MOD(C136,10)</f>
        <v>0</v>
      </c>
      <c r="M137" s="52">
        <f>(D137*10)+E137</f>
        <v>0</v>
      </c>
      <c r="N137" s="52">
        <f>(F137*10)+G137</f>
        <v>0</v>
      </c>
      <c r="O137" s="52">
        <f>(H137*10)+I137</f>
        <v>0</v>
      </c>
      <c r="P137" s="50">
        <f>+J137</f>
        <v>0</v>
      </c>
      <c r="Q137" s="50">
        <f>K137*10+L137</f>
        <v>0</v>
      </c>
    </row>
    <row r="138" spans="3:17" hidden="1" x14ac:dyDescent="0.2">
      <c r="C138" s="50">
        <f>(C136-C137)/100000</f>
        <v>0</v>
      </c>
      <c r="D138" s="50"/>
      <c r="E138" s="50"/>
      <c r="F138" s="50"/>
      <c r="G138" s="50"/>
      <c r="H138" s="50"/>
      <c r="I138" s="50"/>
      <c r="J138" s="50"/>
      <c r="K138" s="50"/>
      <c r="L138" s="51" t="s">
        <v>157</v>
      </c>
      <c r="M138" s="50" t="str">
        <f>VLOOKUP(M137,$A$5:$B$104,2)</f>
        <v xml:space="preserve"> </v>
      </c>
      <c r="N138" s="50" t="str">
        <f>VLOOKUP(N137,$A$5:$B$104,2)</f>
        <v xml:space="preserve"> </v>
      </c>
      <c r="O138" s="50" t="str">
        <f>VLOOKUP(O137,$A$5:$B$104,2)</f>
        <v xml:space="preserve"> </v>
      </c>
      <c r="P138" s="50" t="str">
        <f>VLOOKUP(P137,$A$5:$B$104,2)</f>
        <v xml:space="preserve"> </v>
      </c>
      <c r="Q138" s="50" t="str">
        <f>VLOOKUP(Q137,$A$5:$B$104,2)</f>
        <v xml:space="preserve"> </v>
      </c>
    </row>
    <row r="139" spans="3:17" hidden="1" x14ac:dyDescent="0.2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 t="str">
        <f>IF(M137&gt;=1,$B$4,$B$5)</f>
        <v xml:space="preserve"> </v>
      </c>
      <c r="N139" s="50" t="str">
        <f>IF(N137&gt;=1,$B$3,$B$5)</f>
        <v xml:space="preserve"> </v>
      </c>
      <c r="O139" s="50" t="str">
        <f>IF(O137&gt;=1,$B$1,$B$5)</f>
        <v xml:space="preserve"> </v>
      </c>
      <c r="P139" s="50" t="str">
        <f>IF(P137&gt;=1,$B$2,$B$5)</f>
        <v xml:space="preserve"> </v>
      </c>
      <c r="Q139" s="50"/>
    </row>
    <row r="140" spans="3:17" ht="15.75" hidden="1" x14ac:dyDescent="0.25">
      <c r="C140" s="53" t="str">
        <f>TRIM(N136&amp;M140&amp;N140&amp;O140&amp;P140&amp;Q140&amp;P136)</f>
        <v>Rs Only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4" t="str">
        <f>M138&amp;L138&amp;M139</f>
        <v xml:space="preserve">   </v>
      </c>
      <c r="N140" s="54" t="str">
        <f>N138&amp;L138&amp;N139</f>
        <v xml:space="preserve">   </v>
      </c>
      <c r="O140" s="54" t="str">
        <f>O138&amp;L138&amp;O139</f>
        <v xml:space="preserve">   </v>
      </c>
      <c r="P140" s="54" t="str">
        <f>P138&amp;L138&amp;P139</f>
        <v xml:space="preserve">   </v>
      </c>
      <c r="Q140" s="54" t="str">
        <f>Q138&amp;L138&amp;Q139</f>
        <v xml:space="preserve">  </v>
      </c>
    </row>
    <row r="141" spans="3:17" x14ac:dyDescent="0.2">
      <c r="C141" s="50">
        <f>+R141</f>
        <v>0</v>
      </c>
      <c r="D141" s="50"/>
      <c r="E141" s="50"/>
      <c r="F141" s="50"/>
      <c r="G141" s="50"/>
      <c r="H141" s="50" t="s">
        <v>150</v>
      </c>
      <c r="I141" s="50"/>
      <c r="J141" s="50"/>
      <c r="K141" s="50"/>
      <c r="L141" s="50"/>
      <c r="M141" s="50"/>
      <c r="N141" s="51" t="s">
        <v>151</v>
      </c>
      <c r="O141" s="50"/>
      <c r="P141" s="51" t="s">
        <v>152</v>
      </c>
      <c r="Q141" s="50"/>
    </row>
    <row r="142" spans="3:17" hidden="1" x14ac:dyDescent="0.2">
      <c r="C142" s="50">
        <f>MOD(C141,100000)</f>
        <v>0</v>
      </c>
      <c r="D142" s="52">
        <f>ROUNDDOWN((MOD(C143,10000))/1000,0)</f>
        <v>0</v>
      </c>
      <c r="E142" s="52">
        <f>ROUNDDOWN((MOD(C143,1000))/100,0)</f>
        <v>0</v>
      </c>
      <c r="F142" s="52">
        <f>ROUNDDOWN((MOD(C143,100))/10,0)</f>
        <v>0</v>
      </c>
      <c r="G142" s="52">
        <f>MOD(C143,10)</f>
        <v>0</v>
      </c>
      <c r="H142" s="52">
        <f>ROUNDDOWN((MOD(C141,100000))/10000,0)</f>
        <v>0</v>
      </c>
      <c r="I142" s="52">
        <f>ROUNDDOWN((MOD(C141,10000))/1000,0)</f>
        <v>0</v>
      </c>
      <c r="J142" s="52">
        <f>ROUNDDOWN((MOD(C141,1000))/100,0)</f>
        <v>0</v>
      </c>
      <c r="K142" s="52">
        <f>ROUNDDOWN((MOD(C141,100))/10,0)</f>
        <v>0</v>
      </c>
      <c r="L142" s="52">
        <f>MOD(C141,10)</f>
        <v>0</v>
      </c>
      <c r="M142" s="52">
        <f>(D142*10)+E142</f>
        <v>0</v>
      </c>
      <c r="N142" s="52">
        <f>(F142*10)+G142</f>
        <v>0</v>
      </c>
      <c r="O142" s="52">
        <f>(H142*10)+I142</f>
        <v>0</v>
      </c>
      <c r="P142" s="50">
        <f>+J142</f>
        <v>0</v>
      </c>
      <c r="Q142" s="50">
        <f>K142*10+L142</f>
        <v>0</v>
      </c>
    </row>
    <row r="143" spans="3:17" hidden="1" x14ac:dyDescent="0.2">
      <c r="C143" s="50">
        <f>(C141-C142)/100000</f>
        <v>0</v>
      </c>
      <c r="D143" s="50"/>
      <c r="E143" s="50"/>
      <c r="F143" s="50"/>
      <c r="G143" s="50"/>
      <c r="H143" s="50"/>
      <c r="I143" s="50"/>
      <c r="J143" s="50"/>
      <c r="K143" s="50"/>
      <c r="L143" s="51" t="s">
        <v>157</v>
      </c>
      <c r="M143" s="50" t="str">
        <f>VLOOKUP(M142,$A$5:$B$104,2)</f>
        <v xml:space="preserve"> </v>
      </c>
      <c r="N143" s="50" t="str">
        <f>VLOOKUP(N142,$A$5:$B$104,2)</f>
        <v xml:space="preserve"> </v>
      </c>
      <c r="O143" s="50" t="str">
        <f>VLOOKUP(O142,$A$5:$B$104,2)</f>
        <v xml:space="preserve"> </v>
      </c>
      <c r="P143" s="50" t="str">
        <f>VLOOKUP(P142,$A$5:$B$104,2)</f>
        <v xml:space="preserve"> </v>
      </c>
      <c r="Q143" s="50" t="str">
        <f>VLOOKUP(Q142,$A$5:$B$104,2)</f>
        <v xml:space="preserve"> </v>
      </c>
    </row>
    <row r="144" spans="3:17" hidden="1" x14ac:dyDescent="0.2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 t="str">
        <f>IF(M142&gt;=1,$B$4,$B$5)</f>
        <v xml:space="preserve"> </v>
      </c>
      <c r="N144" s="50" t="str">
        <f>IF(N142&gt;=1,$B$3,$B$5)</f>
        <v xml:space="preserve"> </v>
      </c>
      <c r="O144" s="50" t="str">
        <f>IF(O142&gt;=1,$B$1,$B$5)</f>
        <v xml:space="preserve"> </v>
      </c>
      <c r="P144" s="50" t="str">
        <f>IF(P142&gt;=1,$B$2,$B$5)</f>
        <v xml:space="preserve"> </v>
      </c>
      <c r="Q144" s="50"/>
    </row>
    <row r="145" spans="3:17" ht="15.75" hidden="1" x14ac:dyDescent="0.25">
      <c r="C145" s="53" t="str">
        <f>TRIM(N141&amp;M145&amp;N145&amp;O145&amp;P145&amp;Q145&amp;P141)</f>
        <v>Rs Only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4" t="str">
        <f>M143&amp;L143&amp;M144</f>
        <v xml:space="preserve">   </v>
      </c>
      <c r="N145" s="54" t="str">
        <f>N143&amp;L143&amp;N144</f>
        <v xml:space="preserve">   </v>
      </c>
      <c r="O145" s="54" t="str">
        <f>O143&amp;L143&amp;O144</f>
        <v xml:space="preserve">   </v>
      </c>
      <c r="P145" s="54" t="str">
        <f>P143&amp;L143&amp;P144</f>
        <v xml:space="preserve">   </v>
      </c>
      <c r="Q145" s="54" t="str">
        <f>Q143&amp;L143&amp;Q144</f>
        <v xml:space="preserve">  </v>
      </c>
    </row>
    <row r="146" spans="3:17" x14ac:dyDescent="0.2">
      <c r="C146" s="50">
        <f>+R146</f>
        <v>0</v>
      </c>
      <c r="D146" s="50"/>
      <c r="E146" s="50"/>
      <c r="F146" s="50"/>
      <c r="G146" s="50"/>
      <c r="H146" s="50" t="s">
        <v>150</v>
      </c>
      <c r="I146" s="50"/>
      <c r="J146" s="50"/>
      <c r="K146" s="50"/>
      <c r="L146" s="50"/>
      <c r="M146" s="50"/>
      <c r="N146" s="51" t="s">
        <v>151</v>
      </c>
      <c r="O146" s="50"/>
      <c r="P146" s="51" t="s">
        <v>152</v>
      </c>
      <c r="Q146" s="50"/>
    </row>
    <row r="147" spans="3:17" x14ac:dyDescent="0.2">
      <c r="C147" s="50">
        <f>MOD(C146,100000)</f>
        <v>0</v>
      </c>
      <c r="D147" s="52">
        <f>ROUNDDOWN((MOD(C148,10000))/1000,0)</f>
        <v>0</v>
      </c>
      <c r="E147" s="52">
        <f>ROUNDDOWN((MOD(C148,1000))/100,0)</f>
        <v>0</v>
      </c>
      <c r="F147" s="52">
        <f>ROUNDDOWN((MOD(C148,100))/10,0)</f>
        <v>0</v>
      </c>
      <c r="G147" s="52">
        <f>MOD(C148,10)</f>
        <v>0</v>
      </c>
      <c r="H147" s="52">
        <f>ROUNDDOWN((MOD(C146,100000))/10000,0)</f>
        <v>0</v>
      </c>
      <c r="I147" s="52">
        <f>ROUNDDOWN((MOD(C146,10000))/1000,0)</f>
        <v>0</v>
      </c>
      <c r="J147" s="52">
        <f>ROUNDDOWN((MOD(C146,1000))/100,0)</f>
        <v>0</v>
      </c>
      <c r="K147" s="52">
        <f>ROUNDDOWN((MOD(C146,100))/10,0)</f>
        <v>0</v>
      </c>
      <c r="L147" s="52">
        <f>MOD(C146,10)</f>
        <v>0</v>
      </c>
      <c r="M147" s="52">
        <f>(D147*10)+E147</f>
        <v>0</v>
      </c>
      <c r="N147" s="52">
        <f>(F147*10)+G147</f>
        <v>0</v>
      </c>
      <c r="O147" s="52">
        <f>(H147*10)+I147</f>
        <v>0</v>
      </c>
      <c r="P147" s="50">
        <f>+J147</f>
        <v>0</v>
      </c>
      <c r="Q147" s="50">
        <f>K147*10+L147</f>
        <v>0</v>
      </c>
    </row>
    <row r="148" spans="3:17" x14ac:dyDescent="0.2">
      <c r="C148" s="50">
        <f>(C146-C147)/100000</f>
        <v>0</v>
      </c>
      <c r="D148" s="50"/>
      <c r="E148" s="50"/>
      <c r="F148" s="50"/>
      <c r="G148" s="50"/>
      <c r="H148" s="50"/>
      <c r="I148" s="50"/>
      <c r="J148" s="50"/>
      <c r="K148" s="50"/>
      <c r="L148" s="51" t="s">
        <v>157</v>
      </c>
      <c r="M148" s="50" t="str">
        <f>VLOOKUP(M147,$A$5:$B$104,2)</f>
        <v xml:space="preserve"> </v>
      </c>
      <c r="N148" s="50" t="str">
        <f>VLOOKUP(N147,$A$5:$B$104,2)</f>
        <v xml:space="preserve"> </v>
      </c>
      <c r="O148" s="50" t="str">
        <f>VLOOKUP(O147,$A$5:$B$104,2)</f>
        <v xml:space="preserve"> </v>
      </c>
      <c r="P148" s="50" t="str">
        <f>VLOOKUP(P147,$A$5:$B$104,2)</f>
        <v xml:space="preserve"> </v>
      </c>
      <c r="Q148" s="50" t="str">
        <f>VLOOKUP(Q147,$A$5:$B$104,2)</f>
        <v xml:space="preserve"> </v>
      </c>
    </row>
    <row r="149" spans="3:17" x14ac:dyDescent="0.2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 t="str">
        <f>IF(M147&gt;=1,$B$4,$B$5)</f>
        <v xml:space="preserve"> </v>
      </c>
      <c r="N149" s="50" t="str">
        <f>IF(N147&gt;=1,$B$3,$B$5)</f>
        <v xml:space="preserve"> </v>
      </c>
      <c r="O149" s="50" t="str">
        <f>IF(O147&gt;=1,$B$1,$B$5)</f>
        <v xml:space="preserve"> </v>
      </c>
      <c r="P149" s="50" t="str">
        <f>IF(P147&gt;=1,$B$2,$B$5)</f>
        <v xml:space="preserve"> </v>
      </c>
      <c r="Q149" s="50"/>
    </row>
    <row r="150" spans="3:17" ht="15.75" x14ac:dyDescent="0.25">
      <c r="C150" s="53" t="str">
        <f>TRIM(N146&amp;M150&amp;N150&amp;O150&amp;P150&amp;Q150&amp;P146)</f>
        <v>Rs Only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4" t="str">
        <f>M148&amp;L148&amp;M149</f>
        <v xml:space="preserve">   </v>
      </c>
      <c r="N150" s="54" t="str">
        <f>N148&amp;L148&amp;N149</f>
        <v xml:space="preserve">   </v>
      </c>
      <c r="O150" s="54" t="str">
        <f>O148&amp;L148&amp;O149</f>
        <v xml:space="preserve">   </v>
      </c>
      <c r="P150" s="54" t="str">
        <f>P148&amp;L148&amp;P149</f>
        <v xml:space="preserve">   </v>
      </c>
      <c r="Q150" s="54" t="str">
        <f>Q148&amp;L148&amp;Q149</f>
        <v xml:space="preserve">  </v>
      </c>
    </row>
    <row r="234" spans="18:18" x14ac:dyDescent="0.2">
      <c r="R234" s="49" t="e">
        <f>+#REF!</f>
        <v>#REF!</v>
      </c>
    </row>
    <row r="235" spans="18:18" x14ac:dyDescent="0.2">
      <c r="R235" s="49" t="e">
        <f>+#REF!</f>
        <v>#REF!</v>
      </c>
    </row>
    <row r="236" spans="18:18" x14ac:dyDescent="0.2">
      <c r="R236" s="49" t="e">
        <f>+#REF!</f>
        <v>#REF!</v>
      </c>
    </row>
    <row r="237" spans="18:18" x14ac:dyDescent="0.2">
      <c r="R237" s="49" t="e">
        <f>+#REF!</f>
        <v>#REF!</v>
      </c>
    </row>
    <row r="238" spans="18:18" x14ac:dyDescent="0.2">
      <c r="R238" s="49" t="e">
        <f>+#REF!</f>
        <v>#REF!</v>
      </c>
    </row>
    <row r="239" spans="18:18" x14ac:dyDescent="0.2">
      <c r="R239" s="49" t="e">
        <f>+#REF!</f>
        <v>#REF!</v>
      </c>
    </row>
    <row r="240" spans="18:18" x14ac:dyDescent="0.2">
      <c r="R240" s="49" t="e">
        <f>+#REF!</f>
        <v>#REF!</v>
      </c>
    </row>
    <row r="241" spans="18:18" x14ac:dyDescent="0.2">
      <c r="R241" s="49" t="e">
        <f>+#REF!</f>
        <v>#REF!</v>
      </c>
    </row>
    <row r="242" spans="18:18" x14ac:dyDescent="0.2">
      <c r="R242" s="49" t="e">
        <f>+#REF!</f>
        <v>#REF!</v>
      </c>
    </row>
    <row r="243" spans="18:18" x14ac:dyDescent="0.2">
      <c r="R243" s="49" t="e">
        <f>+#REF!</f>
        <v>#REF!</v>
      </c>
    </row>
    <row r="244" spans="18:18" x14ac:dyDescent="0.2">
      <c r="R244" s="49" t="e">
        <f>+#REF!</f>
        <v>#REF!</v>
      </c>
    </row>
    <row r="245" spans="18:18" x14ac:dyDescent="0.2">
      <c r="R245" s="49" t="e">
        <f>+#REF!</f>
        <v>#REF!</v>
      </c>
    </row>
    <row r="246" spans="18:18" x14ac:dyDescent="0.2">
      <c r="R246" s="49" t="e">
        <f>+#REF!</f>
        <v>#REF!</v>
      </c>
    </row>
    <row r="247" spans="18:18" x14ac:dyDescent="0.2">
      <c r="R247" s="49" t="e">
        <f>+#REF!</f>
        <v>#REF!</v>
      </c>
    </row>
    <row r="248" spans="18:18" x14ac:dyDescent="0.2">
      <c r="R248" s="49" t="e">
        <f>+#REF!</f>
        <v>#REF!</v>
      </c>
    </row>
    <row r="249" spans="18:18" x14ac:dyDescent="0.2">
      <c r="R249" s="49" t="e">
        <f>+#REF!</f>
        <v>#REF!</v>
      </c>
    </row>
    <row r="250" spans="18:18" x14ac:dyDescent="0.2">
      <c r="R250" s="49" t="e">
        <f>+#REF!</f>
        <v>#REF!</v>
      </c>
    </row>
    <row r="251" spans="18:18" x14ac:dyDescent="0.2">
      <c r="R251" s="49" t="e">
        <f>+#REF!</f>
        <v>#REF!</v>
      </c>
    </row>
    <row r="252" spans="18:18" x14ac:dyDescent="0.2">
      <c r="R252" s="49" t="e">
        <f>+#REF!</f>
        <v>#REF!</v>
      </c>
    </row>
    <row r="253" spans="18:18" x14ac:dyDescent="0.2">
      <c r="R253" s="49" t="e">
        <f>+#REF!</f>
        <v>#REF!</v>
      </c>
    </row>
    <row r="254" spans="18:18" x14ac:dyDescent="0.2">
      <c r="R254" s="49" t="e">
        <f>+#REF!</f>
        <v>#REF!</v>
      </c>
    </row>
    <row r="255" spans="18:18" x14ac:dyDescent="0.2">
      <c r="R255" s="49" t="e">
        <f>+#REF!</f>
        <v>#REF!</v>
      </c>
    </row>
    <row r="256" spans="18:18" x14ac:dyDescent="0.2">
      <c r="R256" s="49" t="e">
        <f>+#REF!</f>
        <v>#REF!</v>
      </c>
    </row>
    <row r="257" spans="18:18" x14ac:dyDescent="0.2">
      <c r="R257" s="49" t="e">
        <f>+#REF!</f>
        <v>#REF!</v>
      </c>
    </row>
    <row r="258" spans="18:18" x14ac:dyDescent="0.2">
      <c r="R258" s="49" t="e">
        <f>+#REF!</f>
        <v>#REF!</v>
      </c>
    </row>
    <row r="259" spans="18:18" x14ac:dyDescent="0.2">
      <c r="R259" s="49" t="e">
        <f>+#REF!</f>
        <v>#REF!</v>
      </c>
    </row>
    <row r="260" spans="18:18" x14ac:dyDescent="0.2">
      <c r="R260" s="49" t="e">
        <f>+#REF!</f>
        <v>#REF!</v>
      </c>
    </row>
    <row r="261" spans="18:18" x14ac:dyDescent="0.2">
      <c r="R261" s="49" t="e">
        <f>+#REF!</f>
        <v>#REF!</v>
      </c>
    </row>
    <row r="262" spans="18:18" x14ac:dyDescent="0.2">
      <c r="R262" s="49" t="e">
        <f>+#REF!</f>
        <v>#REF!</v>
      </c>
    </row>
    <row r="263" spans="18:18" x14ac:dyDescent="0.2">
      <c r="R263" s="49" t="e">
        <f>+#REF!</f>
        <v>#REF!</v>
      </c>
    </row>
    <row r="264" spans="18:18" x14ac:dyDescent="0.2">
      <c r="R264" s="49" t="e">
        <f>+#REF!</f>
        <v>#REF!</v>
      </c>
    </row>
    <row r="265" spans="18:18" x14ac:dyDescent="0.2">
      <c r="R265" s="49" t="e">
        <f>+#REF!</f>
        <v>#REF!</v>
      </c>
    </row>
    <row r="266" spans="18:18" x14ac:dyDescent="0.2">
      <c r="R266" s="49" t="e">
        <f>+#REF!</f>
        <v>#REF!</v>
      </c>
    </row>
    <row r="267" spans="18:18" x14ac:dyDescent="0.2">
      <c r="R267" s="49" t="e">
        <f>+#REF!</f>
        <v>#REF!</v>
      </c>
    </row>
    <row r="268" spans="18:18" x14ac:dyDescent="0.2">
      <c r="R268" s="49" t="e">
        <f>+#REF!</f>
        <v>#REF!</v>
      </c>
    </row>
    <row r="269" spans="18:18" x14ac:dyDescent="0.2">
      <c r="R269" s="49" t="e">
        <f>+#REF!</f>
        <v>#REF!</v>
      </c>
    </row>
    <row r="270" spans="18:18" x14ac:dyDescent="0.2">
      <c r="R270" s="49" t="e">
        <f>+#REF!</f>
        <v>#REF!</v>
      </c>
    </row>
    <row r="271" spans="18:18" x14ac:dyDescent="0.2">
      <c r="R271" s="49" t="e">
        <f>+#REF!</f>
        <v>#REF!</v>
      </c>
    </row>
    <row r="272" spans="18:18" x14ac:dyDescent="0.2">
      <c r="R272" s="49" t="e">
        <f>+#REF!</f>
        <v>#REF!</v>
      </c>
    </row>
    <row r="273" spans="18:18" x14ac:dyDescent="0.2">
      <c r="R273" s="49" t="e">
        <f>+#REF!</f>
        <v>#REF!</v>
      </c>
    </row>
    <row r="274" spans="18:18" x14ac:dyDescent="0.2">
      <c r="R274" s="49" t="e">
        <f>+#REF!</f>
        <v>#REF!</v>
      </c>
    </row>
    <row r="275" spans="18:18" x14ac:dyDescent="0.2">
      <c r="R275" s="49" t="e">
        <f>+#REF!</f>
        <v>#REF!</v>
      </c>
    </row>
    <row r="276" spans="18:18" x14ac:dyDescent="0.2">
      <c r="R276" s="49" t="e">
        <f>+#REF!</f>
        <v>#REF!</v>
      </c>
    </row>
    <row r="277" spans="18:18" x14ac:dyDescent="0.2">
      <c r="R277" s="49" t="e">
        <f>+#REF!</f>
        <v>#REF!</v>
      </c>
    </row>
    <row r="278" spans="18:18" x14ac:dyDescent="0.2">
      <c r="R278" s="49" t="e">
        <f>+#REF!</f>
        <v>#REF!</v>
      </c>
    </row>
    <row r="279" spans="18:18" x14ac:dyDescent="0.2">
      <c r="R279" s="49" t="e">
        <f>+#REF!</f>
        <v>#REF!</v>
      </c>
    </row>
    <row r="280" spans="18:18" x14ac:dyDescent="0.2">
      <c r="R280" s="49" t="e">
        <f>+#REF!</f>
        <v>#REF!</v>
      </c>
    </row>
    <row r="281" spans="18:18" x14ac:dyDescent="0.2">
      <c r="R281" s="49" t="e">
        <f>+#REF!</f>
        <v>#REF!</v>
      </c>
    </row>
    <row r="282" spans="18:18" x14ac:dyDescent="0.2">
      <c r="R282" s="49" t="e">
        <f>+#REF!</f>
        <v>#REF!</v>
      </c>
    </row>
    <row r="283" spans="18:18" x14ac:dyDescent="0.2">
      <c r="R283" s="49" t="e">
        <f>+#REF!</f>
        <v>#REF!</v>
      </c>
    </row>
    <row r="284" spans="18:18" x14ac:dyDescent="0.2">
      <c r="R284" s="49" t="e">
        <f>+#REF!</f>
        <v>#REF!</v>
      </c>
    </row>
    <row r="285" spans="18:18" x14ac:dyDescent="0.2">
      <c r="R285" s="49" t="e">
        <f>+#REF!</f>
        <v>#REF!</v>
      </c>
    </row>
    <row r="286" spans="18:18" x14ac:dyDescent="0.2">
      <c r="R286" s="49" t="e">
        <f>+#REF!</f>
        <v>#REF!</v>
      </c>
    </row>
    <row r="287" spans="18:18" x14ac:dyDescent="0.2">
      <c r="R287" s="49" t="e">
        <f>+#REF!</f>
        <v>#REF!</v>
      </c>
    </row>
    <row r="288" spans="18:18" x14ac:dyDescent="0.2">
      <c r="R288" s="49" t="e">
        <f>+#REF!</f>
        <v>#REF!</v>
      </c>
    </row>
    <row r="289" spans="18:18" x14ac:dyDescent="0.2">
      <c r="R289" s="49" t="e">
        <f>+#REF!</f>
        <v>#REF!</v>
      </c>
    </row>
    <row r="290" spans="18:18" x14ac:dyDescent="0.2">
      <c r="R290" s="49" t="e">
        <f>+#REF!</f>
        <v>#REF!</v>
      </c>
    </row>
    <row r="291" spans="18:18" x14ac:dyDescent="0.2">
      <c r="R291" s="49" t="e">
        <f>+#REF!</f>
        <v>#REF!</v>
      </c>
    </row>
    <row r="292" spans="18:18" x14ac:dyDescent="0.2">
      <c r="R292" s="49" t="e">
        <f>+#REF!</f>
        <v>#REF!</v>
      </c>
    </row>
    <row r="293" spans="18:18" x14ac:dyDescent="0.2">
      <c r="R293" s="49" t="e">
        <f>+#REF!</f>
        <v>#REF!</v>
      </c>
    </row>
    <row r="294" spans="18:18" x14ac:dyDescent="0.2">
      <c r="R294" s="49" t="e">
        <f>+#REF!</f>
        <v>#REF!</v>
      </c>
    </row>
    <row r="295" spans="18:18" x14ac:dyDescent="0.2">
      <c r="R295" s="49" t="e">
        <f>+#REF!</f>
        <v>#REF!</v>
      </c>
    </row>
    <row r="296" spans="18:18" x14ac:dyDescent="0.2">
      <c r="R296" s="49" t="e">
        <f>+#REF!</f>
        <v>#REF!</v>
      </c>
    </row>
    <row r="297" spans="18:18" x14ac:dyDescent="0.2">
      <c r="R297" s="49" t="e">
        <f>+#REF!</f>
        <v>#REF!</v>
      </c>
    </row>
    <row r="298" spans="18:18" x14ac:dyDescent="0.2">
      <c r="R298" s="49" t="e">
        <f>+#REF!</f>
        <v>#REF!</v>
      </c>
    </row>
    <row r="299" spans="18:18" x14ac:dyDescent="0.2">
      <c r="R299" s="49" t="e">
        <f>+#REF!</f>
        <v>#REF!</v>
      </c>
    </row>
    <row r="300" spans="18:18" x14ac:dyDescent="0.2">
      <c r="R300" s="49" t="e">
        <f>+#REF!</f>
        <v>#REF!</v>
      </c>
    </row>
    <row r="301" spans="18:18" x14ac:dyDescent="0.2">
      <c r="R301" s="49" t="e">
        <f>+#REF!</f>
        <v>#REF!</v>
      </c>
    </row>
    <row r="302" spans="18:18" x14ac:dyDescent="0.2">
      <c r="R302" s="49" t="e">
        <f>+#REF!</f>
        <v>#REF!</v>
      </c>
    </row>
    <row r="303" spans="18:18" x14ac:dyDescent="0.2">
      <c r="R303" s="49" t="e">
        <f>+#REF!</f>
        <v>#REF!</v>
      </c>
    </row>
    <row r="304" spans="18:18" x14ac:dyDescent="0.2">
      <c r="R304" s="49" t="e">
        <f>+#REF!</f>
        <v>#REF!</v>
      </c>
    </row>
    <row r="305" spans="18:18" x14ac:dyDescent="0.2">
      <c r="R305" s="49" t="e">
        <f>+#REF!</f>
        <v>#REF!</v>
      </c>
    </row>
    <row r="306" spans="18:18" x14ac:dyDescent="0.2">
      <c r="R306" s="49" t="e">
        <f>+#REF!</f>
        <v>#REF!</v>
      </c>
    </row>
    <row r="307" spans="18:18" x14ac:dyDescent="0.2">
      <c r="R307" s="49" t="e">
        <f>+#REF!</f>
        <v>#REF!</v>
      </c>
    </row>
    <row r="308" spans="18:18" x14ac:dyDescent="0.2">
      <c r="R308" s="49" t="e">
        <f>+#REF!</f>
        <v>#REF!</v>
      </c>
    </row>
    <row r="309" spans="18:18" x14ac:dyDescent="0.2">
      <c r="R309" s="49" t="e">
        <f>+#REF!</f>
        <v>#REF!</v>
      </c>
    </row>
    <row r="310" spans="18:18" x14ac:dyDescent="0.2">
      <c r="R310" s="49" t="e">
        <f>+#REF!</f>
        <v>#REF!</v>
      </c>
    </row>
    <row r="311" spans="18:18" x14ac:dyDescent="0.2">
      <c r="R311" s="49" t="e">
        <f>+#REF!</f>
        <v>#REF!</v>
      </c>
    </row>
    <row r="312" spans="18:18" x14ac:dyDescent="0.2">
      <c r="R312" s="49" t="e">
        <f>+#REF!</f>
        <v>#REF!</v>
      </c>
    </row>
    <row r="313" spans="18:18" x14ac:dyDescent="0.2">
      <c r="R313" s="49" t="e">
        <f>+#REF!</f>
        <v>#REF!</v>
      </c>
    </row>
    <row r="314" spans="18:18" x14ac:dyDescent="0.2">
      <c r="R314" s="49" t="e">
        <f>+#REF!</f>
        <v>#REF!</v>
      </c>
    </row>
    <row r="315" spans="18:18" x14ac:dyDescent="0.2">
      <c r="R315" s="49" t="e">
        <f>+#REF!</f>
        <v>#REF!</v>
      </c>
    </row>
    <row r="316" spans="18:18" x14ac:dyDescent="0.2">
      <c r="R316" s="49" t="e">
        <f>+#REF!</f>
        <v>#REF!</v>
      </c>
    </row>
    <row r="317" spans="18:18" x14ac:dyDescent="0.2">
      <c r="R317" s="49" t="e">
        <f>+#REF!</f>
        <v>#REF!</v>
      </c>
    </row>
    <row r="318" spans="18:18" x14ac:dyDescent="0.2">
      <c r="R318" s="49" t="e">
        <f>+#REF!</f>
        <v>#REF!</v>
      </c>
    </row>
    <row r="319" spans="18:18" x14ac:dyDescent="0.2">
      <c r="R319" s="49" t="e">
        <f>+#REF!</f>
        <v>#REF!</v>
      </c>
    </row>
    <row r="320" spans="18:18" x14ac:dyDescent="0.2">
      <c r="R320" s="49" t="e">
        <f>+#REF!</f>
        <v>#REF!</v>
      </c>
    </row>
    <row r="321" spans="18:18" x14ac:dyDescent="0.2">
      <c r="R321" s="49" t="e">
        <f>+#REF!</f>
        <v>#REF!</v>
      </c>
    </row>
    <row r="322" spans="18:18" x14ac:dyDescent="0.2">
      <c r="R322" s="49" t="e">
        <f>+#REF!</f>
        <v>#REF!</v>
      </c>
    </row>
    <row r="323" spans="18:18" x14ac:dyDescent="0.2">
      <c r="R323" s="49" t="e">
        <f>+#REF!</f>
        <v>#REF!</v>
      </c>
    </row>
    <row r="324" spans="18:18" x14ac:dyDescent="0.2">
      <c r="R324" s="49" t="e">
        <f>+#REF!</f>
        <v>#REF!</v>
      </c>
    </row>
    <row r="325" spans="18:18" x14ac:dyDescent="0.2">
      <c r="R325" s="49" t="e">
        <f>+#REF!</f>
        <v>#REF!</v>
      </c>
    </row>
    <row r="326" spans="18:18" x14ac:dyDescent="0.2">
      <c r="R326" s="49" t="e">
        <f>+#REF!</f>
        <v>#REF!</v>
      </c>
    </row>
    <row r="327" spans="18:18" x14ac:dyDescent="0.2">
      <c r="R327" s="49" t="e">
        <f>+#REF!</f>
        <v>#REF!</v>
      </c>
    </row>
    <row r="328" spans="18:18" x14ac:dyDescent="0.2">
      <c r="R328" s="49" t="e">
        <f>+#REF!</f>
        <v>#REF!</v>
      </c>
    </row>
    <row r="329" spans="18:18" x14ac:dyDescent="0.2">
      <c r="R329" s="49" t="e">
        <f>+#REF!</f>
        <v>#REF!</v>
      </c>
    </row>
    <row r="330" spans="18:18" x14ac:dyDescent="0.2">
      <c r="R330" s="49" t="e">
        <f>+#REF!</f>
        <v>#REF!</v>
      </c>
    </row>
    <row r="331" spans="18:18" x14ac:dyDescent="0.2">
      <c r="R331" s="49" t="e">
        <f>+#REF!</f>
        <v>#REF!</v>
      </c>
    </row>
    <row r="332" spans="18:18" x14ac:dyDescent="0.2">
      <c r="R332" s="49" t="e">
        <f>+#REF!</f>
        <v>#REF!</v>
      </c>
    </row>
    <row r="333" spans="18:18" x14ac:dyDescent="0.2">
      <c r="R333" s="49" t="e">
        <f>+#REF!</f>
        <v>#REF!</v>
      </c>
    </row>
    <row r="334" spans="18:18" x14ac:dyDescent="0.2">
      <c r="R334" s="49" t="e">
        <f>+#REF!</f>
        <v>#REF!</v>
      </c>
    </row>
    <row r="335" spans="18:18" x14ac:dyDescent="0.2">
      <c r="R335" s="49" t="e">
        <f>+#REF!</f>
        <v>#REF!</v>
      </c>
    </row>
    <row r="336" spans="18:18" x14ac:dyDescent="0.2">
      <c r="R336" s="49" t="e">
        <f>+#REF!</f>
        <v>#REF!</v>
      </c>
    </row>
    <row r="337" spans="18:18" x14ac:dyDescent="0.2">
      <c r="R337" s="49" t="e">
        <f>+#REF!</f>
        <v>#REF!</v>
      </c>
    </row>
    <row r="338" spans="18:18" x14ac:dyDescent="0.2">
      <c r="R338" s="49" t="e">
        <f>+#REF!</f>
        <v>#REF!</v>
      </c>
    </row>
    <row r="339" spans="18:18" x14ac:dyDescent="0.2">
      <c r="R339" s="49" t="e">
        <f>+#REF!</f>
        <v>#REF!</v>
      </c>
    </row>
    <row r="340" spans="18:18" x14ac:dyDescent="0.2">
      <c r="R340" s="49" t="e">
        <f>+#REF!</f>
        <v>#REF!</v>
      </c>
    </row>
    <row r="341" spans="18:18" x14ac:dyDescent="0.2">
      <c r="R341" s="49" t="e">
        <f>+#REF!</f>
        <v>#REF!</v>
      </c>
    </row>
    <row r="342" spans="18:18" x14ac:dyDescent="0.2">
      <c r="R342" s="49" t="e">
        <f>+#REF!</f>
        <v>#REF!</v>
      </c>
    </row>
    <row r="343" spans="18:18" x14ac:dyDescent="0.2">
      <c r="R343" s="49" t="e">
        <f>+#REF!</f>
        <v>#REF!</v>
      </c>
    </row>
    <row r="344" spans="18:18" x14ac:dyDescent="0.2">
      <c r="R344" s="49" t="e">
        <f>+#REF!</f>
        <v>#REF!</v>
      </c>
    </row>
    <row r="345" spans="18:18" x14ac:dyDescent="0.2">
      <c r="R345" s="49" t="e">
        <f>+#REF!</f>
        <v>#REF!</v>
      </c>
    </row>
    <row r="346" spans="18:18" x14ac:dyDescent="0.2">
      <c r="R346" s="49" t="e">
        <f>+#REF!</f>
        <v>#REF!</v>
      </c>
    </row>
    <row r="347" spans="18:18" x14ac:dyDescent="0.2">
      <c r="R347" s="49" t="e">
        <f>+#REF!</f>
        <v>#REF!</v>
      </c>
    </row>
    <row r="348" spans="18:18" x14ac:dyDescent="0.2">
      <c r="R348" s="49" t="e">
        <f>+#REF!</f>
        <v>#REF!</v>
      </c>
    </row>
    <row r="349" spans="18:18" x14ac:dyDescent="0.2">
      <c r="R349" s="49" t="e">
        <f>+#REF!</f>
        <v>#REF!</v>
      </c>
    </row>
    <row r="350" spans="18:18" x14ac:dyDescent="0.2">
      <c r="R350" s="49" t="e">
        <f>+#REF!</f>
        <v>#REF!</v>
      </c>
    </row>
    <row r="351" spans="18:18" x14ac:dyDescent="0.2">
      <c r="R351" s="49" t="e">
        <f>+#REF!</f>
        <v>#REF!</v>
      </c>
    </row>
    <row r="352" spans="18:18" x14ac:dyDescent="0.2">
      <c r="R352" s="49" t="e">
        <f>+#REF!</f>
        <v>#REF!</v>
      </c>
    </row>
    <row r="353" spans="18:18" x14ac:dyDescent="0.2">
      <c r="R353" s="49" t="e">
        <f>+#REF!</f>
        <v>#REF!</v>
      </c>
    </row>
    <row r="354" spans="18:18" x14ac:dyDescent="0.2">
      <c r="R354" s="49" t="e">
        <f>+#REF!</f>
        <v>#REF!</v>
      </c>
    </row>
    <row r="355" spans="18:18" x14ac:dyDescent="0.2">
      <c r="R355" s="49" t="e">
        <f>+#REF!</f>
        <v>#REF!</v>
      </c>
    </row>
    <row r="356" spans="18:18" x14ac:dyDescent="0.2">
      <c r="R356" s="49" t="e">
        <f>+#REF!</f>
        <v>#REF!</v>
      </c>
    </row>
    <row r="357" spans="18:18" x14ac:dyDescent="0.2">
      <c r="R357" s="49" t="e">
        <f>+#REF!</f>
        <v>#REF!</v>
      </c>
    </row>
    <row r="358" spans="18:18" x14ac:dyDescent="0.2">
      <c r="R358" s="49" t="e">
        <f>+#REF!</f>
        <v>#REF!</v>
      </c>
    </row>
    <row r="359" spans="18:18" x14ac:dyDescent="0.2">
      <c r="R359" s="49" t="e">
        <f>+#REF!</f>
        <v>#REF!</v>
      </c>
    </row>
    <row r="360" spans="18:18" x14ac:dyDescent="0.2">
      <c r="R360" s="49" t="e">
        <f>+#REF!</f>
        <v>#REF!</v>
      </c>
    </row>
    <row r="361" spans="18:18" x14ac:dyDescent="0.2">
      <c r="R361" s="49" t="e">
        <f>+#REF!</f>
        <v>#REF!</v>
      </c>
    </row>
    <row r="362" spans="18:18" x14ac:dyDescent="0.2">
      <c r="R362" s="49" t="e">
        <f>+#REF!</f>
        <v>#REF!</v>
      </c>
    </row>
    <row r="363" spans="18:18" x14ac:dyDescent="0.2">
      <c r="R363" s="49" t="e">
        <f>+#REF!</f>
        <v>#REF!</v>
      </c>
    </row>
    <row r="364" spans="18:18" x14ac:dyDescent="0.2">
      <c r="R364" s="49" t="e">
        <f>+#REF!</f>
        <v>#REF!</v>
      </c>
    </row>
    <row r="365" spans="18:18" x14ac:dyDescent="0.2">
      <c r="R365" s="49" t="e">
        <f>+#REF!</f>
        <v>#REF!</v>
      </c>
    </row>
    <row r="366" spans="18:18" x14ac:dyDescent="0.2">
      <c r="R366" s="49" t="e">
        <f>+#REF!</f>
        <v>#REF!</v>
      </c>
    </row>
    <row r="367" spans="18:18" x14ac:dyDescent="0.2">
      <c r="R367" s="49" t="e">
        <f>+#REF!</f>
        <v>#REF!</v>
      </c>
    </row>
    <row r="368" spans="18:18" x14ac:dyDescent="0.2">
      <c r="R368" s="49" t="e">
        <f>+#REF!</f>
        <v>#REF!</v>
      </c>
    </row>
    <row r="369" spans="18:18" x14ac:dyDescent="0.2">
      <c r="R369" s="49" t="e">
        <f>+#REF!</f>
        <v>#REF!</v>
      </c>
    </row>
    <row r="370" spans="18:18" x14ac:dyDescent="0.2">
      <c r="R370" s="49" t="e">
        <f>+#REF!</f>
        <v>#REF!</v>
      </c>
    </row>
    <row r="371" spans="18:18" x14ac:dyDescent="0.2">
      <c r="R371" s="49" t="e">
        <f>+#REF!</f>
        <v>#REF!</v>
      </c>
    </row>
    <row r="372" spans="18:18" x14ac:dyDescent="0.2">
      <c r="R372" s="49" t="e">
        <f>+#REF!</f>
        <v>#REF!</v>
      </c>
    </row>
    <row r="373" spans="18:18" x14ac:dyDescent="0.2">
      <c r="R373" s="49" t="e">
        <f>+#REF!</f>
        <v>#REF!</v>
      </c>
    </row>
    <row r="374" spans="18:18" x14ac:dyDescent="0.2">
      <c r="R374" s="49" t="e">
        <f>+#REF!</f>
        <v>#REF!</v>
      </c>
    </row>
    <row r="375" spans="18:18" x14ac:dyDescent="0.2">
      <c r="R375" s="49" t="e">
        <f>+#REF!</f>
        <v>#REF!</v>
      </c>
    </row>
    <row r="376" spans="18:18" x14ac:dyDescent="0.2">
      <c r="R376" s="49" t="e">
        <f>+#REF!</f>
        <v>#REF!</v>
      </c>
    </row>
    <row r="377" spans="18:18" x14ac:dyDescent="0.2">
      <c r="R377" s="49" t="e">
        <f>+#REF!</f>
        <v>#REF!</v>
      </c>
    </row>
    <row r="378" spans="18:18" x14ac:dyDescent="0.2">
      <c r="R378" s="49" t="e">
        <f>+#REF!</f>
        <v>#REF!</v>
      </c>
    </row>
    <row r="379" spans="18:18" x14ac:dyDescent="0.2">
      <c r="R379" s="49" t="e">
        <f>+#REF!</f>
        <v>#REF!</v>
      </c>
    </row>
    <row r="380" spans="18:18" x14ac:dyDescent="0.2">
      <c r="R380" s="49" t="e">
        <f>+#REF!</f>
        <v>#REF!</v>
      </c>
    </row>
    <row r="381" spans="18:18" x14ac:dyDescent="0.2">
      <c r="R381" s="49" t="e">
        <f>+#REF!</f>
        <v>#REF!</v>
      </c>
    </row>
    <row r="382" spans="18:18" x14ac:dyDescent="0.2">
      <c r="R382" s="49" t="e">
        <f>+#REF!</f>
        <v>#REF!</v>
      </c>
    </row>
    <row r="383" spans="18:18" x14ac:dyDescent="0.2">
      <c r="R383" s="49" t="e">
        <f>+#REF!</f>
        <v>#REF!</v>
      </c>
    </row>
    <row r="384" spans="18:18" x14ac:dyDescent="0.2">
      <c r="R384" s="49" t="e">
        <f>+#REF!</f>
        <v>#REF!</v>
      </c>
    </row>
    <row r="385" spans="18:18" x14ac:dyDescent="0.2">
      <c r="R385" s="49" t="e">
        <f>+#REF!</f>
        <v>#REF!</v>
      </c>
    </row>
    <row r="386" spans="18:18" x14ac:dyDescent="0.2">
      <c r="R386" s="49" t="e">
        <f>+#REF!</f>
        <v>#REF!</v>
      </c>
    </row>
    <row r="387" spans="18:18" x14ac:dyDescent="0.2">
      <c r="R387" s="49" t="e">
        <f>+#REF!</f>
        <v>#REF!</v>
      </c>
    </row>
    <row r="388" spans="18:18" x14ac:dyDescent="0.2">
      <c r="R388" s="49" t="e">
        <f>+#REF!</f>
        <v>#REF!</v>
      </c>
    </row>
    <row r="389" spans="18:18" x14ac:dyDescent="0.2">
      <c r="R389" s="49" t="e">
        <f>+#REF!</f>
        <v>#REF!</v>
      </c>
    </row>
    <row r="390" spans="18:18" x14ac:dyDescent="0.2">
      <c r="R390" s="49" t="e">
        <f>+#REF!</f>
        <v>#REF!</v>
      </c>
    </row>
    <row r="391" spans="18:18" x14ac:dyDescent="0.2">
      <c r="R391" s="49" t="e">
        <f>+#REF!</f>
        <v>#REF!</v>
      </c>
    </row>
    <row r="392" spans="18:18" x14ac:dyDescent="0.2">
      <c r="R392" s="49" t="e">
        <f>+#REF!</f>
        <v>#REF!</v>
      </c>
    </row>
    <row r="393" spans="18:18" x14ac:dyDescent="0.2">
      <c r="R393" s="49" t="e">
        <f>+#REF!</f>
        <v>#REF!</v>
      </c>
    </row>
    <row r="394" spans="18:18" x14ac:dyDescent="0.2">
      <c r="R394" s="49" t="e">
        <f>+#REF!</f>
        <v>#REF!</v>
      </c>
    </row>
    <row r="395" spans="18:18" x14ac:dyDescent="0.2">
      <c r="R395" s="49" t="e">
        <f>+#REF!</f>
        <v>#REF!</v>
      </c>
    </row>
    <row r="396" spans="18:18" x14ac:dyDescent="0.2">
      <c r="R396" s="49" t="e">
        <f>+#REF!</f>
        <v>#REF!</v>
      </c>
    </row>
    <row r="397" spans="18:18" x14ac:dyDescent="0.2">
      <c r="R397" s="49" t="e">
        <f>+#REF!</f>
        <v>#REF!</v>
      </c>
    </row>
    <row r="398" spans="18:18" x14ac:dyDescent="0.2">
      <c r="R398" s="49" t="e">
        <f>+#REF!</f>
        <v>#REF!</v>
      </c>
    </row>
    <row r="399" spans="18:18" x14ac:dyDescent="0.2">
      <c r="R399" s="49" t="e">
        <f>+#REF!</f>
        <v>#REF!</v>
      </c>
    </row>
    <row r="400" spans="18:18" x14ac:dyDescent="0.2">
      <c r="R400" s="49" t="e">
        <f>+#REF!</f>
        <v>#REF!</v>
      </c>
    </row>
    <row r="401" spans="18:18" x14ac:dyDescent="0.2">
      <c r="R401" s="49" t="e">
        <f>+#REF!</f>
        <v>#REF!</v>
      </c>
    </row>
    <row r="402" spans="18:18" x14ac:dyDescent="0.2">
      <c r="R402" s="49" t="e">
        <f>+#REF!</f>
        <v>#REF!</v>
      </c>
    </row>
    <row r="403" spans="18:18" x14ac:dyDescent="0.2">
      <c r="R403" s="49" t="e">
        <f>+#REF!</f>
        <v>#REF!</v>
      </c>
    </row>
    <row r="404" spans="18:18" x14ac:dyDescent="0.2">
      <c r="R404" s="49" t="e">
        <f>+#REF!</f>
        <v>#REF!</v>
      </c>
    </row>
    <row r="405" spans="18:18" x14ac:dyDescent="0.2">
      <c r="R405" s="49" t="e">
        <f>+#REF!</f>
        <v>#REF!</v>
      </c>
    </row>
    <row r="406" spans="18:18" x14ac:dyDescent="0.2">
      <c r="R406" s="49" t="e">
        <f>+#REF!</f>
        <v>#REF!</v>
      </c>
    </row>
    <row r="407" spans="18:18" x14ac:dyDescent="0.2">
      <c r="R407" s="49" t="e">
        <f>+#REF!</f>
        <v>#REF!</v>
      </c>
    </row>
    <row r="408" spans="18:18" x14ac:dyDescent="0.2">
      <c r="R408" s="49" t="e">
        <f>+#REF!</f>
        <v>#REF!</v>
      </c>
    </row>
    <row r="409" spans="18:18" x14ac:dyDescent="0.2">
      <c r="R409" s="49" t="e">
        <f>+#REF!</f>
        <v>#REF!</v>
      </c>
    </row>
    <row r="410" spans="18:18" x14ac:dyDescent="0.2">
      <c r="R410" s="49" t="e">
        <f>+#REF!</f>
        <v>#REF!</v>
      </c>
    </row>
    <row r="411" spans="18:18" x14ac:dyDescent="0.2">
      <c r="R411" s="49" t="e">
        <f>+#REF!</f>
        <v>#REF!</v>
      </c>
    </row>
    <row r="412" spans="18:18" x14ac:dyDescent="0.2">
      <c r="R412" s="49" t="e">
        <f>+#REF!</f>
        <v>#REF!</v>
      </c>
    </row>
    <row r="413" spans="18:18" x14ac:dyDescent="0.2">
      <c r="R413" s="49" t="e">
        <f>+#REF!</f>
        <v>#REF!</v>
      </c>
    </row>
    <row r="414" spans="18:18" x14ac:dyDescent="0.2">
      <c r="R414" s="49" t="e">
        <f>+#REF!</f>
        <v>#REF!</v>
      </c>
    </row>
    <row r="415" spans="18:18" x14ac:dyDescent="0.2">
      <c r="R415" s="49" t="e">
        <f>+#REF!</f>
        <v>#REF!</v>
      </c>
    </row>
    <row r="416" spans="18:18" x14ac:dyDescent="0.2">
      <c r="R416" s="49" t="e">
        <f>+#REF!</f>
        <v>#REF!</v>
      </c>
    </row>
    <row r="417" spans="18:18" x14ac:dyDescent="0.2">
      <c r="R417" s="49" t="e">
        <f>+#REF!</f>
        <v>#REF!</v>
      </c>
    </row>
    <row r="418" spans="18:18" x14ac:dyDescent="0.2">
      <c r="R418" s="49" t="e">
        <f>+#REF!</f>
        <v>#REF!</v>
      </c>
    </row>
    <row r="419" spans="18:18" x14ac:dyDescent="0.2">
      <c r="R419" s="49" t="e">
        <f>+#REF!</f>
        <v>#REF!</v>
      </c>
    </row>
    <row r="420" spans="18:18" x14ac:dyDescent="0.2">
      <c r="R420" s="49" t="e">
        <f>+#REF!</f>
        <v>#REF!</v>
      </c>
    </row>
    <row r="421" spans="18:18" x14ac:dyDescent="0.2">
      <c r="R421" s="49" t="e">
        <f>+#REF!</f>
        <v>#REF!</v>
      </c>
    </row>
    <row r="422" spans="18:18" x14ac:dyDescent="0.2">
      <c r="R422" s="49" t="e">
        <f>+#REF!</f>
        <v>#REF!</v>
      </c>
    </row>
    <row r="423" spans="18:18" x14ac:dyDescent="0.2">
      <c r="R423" s="49" t="e">
        <f>+#REF!</f>
        <v>#REF!</v>
      </c>
    </row>
    <row r="424" spans="18:18" x14ac:dyDescent="0.2">
      <c r="R424" s="49" t="e">
        <f>+#REF!</f>
        <v>#REF!</v>
      </c>
    </row>
    <row r="425" spans="18:18" x14ac:dyDescent="0.2">
      <c r="R425" s="49" t="e">
        <f>+#REF!</f>
        <v>#REF!</v>
      </c>
    </row>
    <row r="426" spans="18:18" x14ac:dyDescent="0.2">
      <c r="R426" s="49" t="e">
        <f>+#REF!</f>
        <v>#REF!</v>
      </c>
    </row>
    <row r="427" spans="18:18" x14ac:dyDescent="0.2">
      <c r="R427" s="49" t="e">
        <f>+#REF!</f>
        <v>#REF!</v>
      </c>
    </row>
    <row r="428" spans="18:18" x14ac:dyDescent="0.2">
      <c r="R428" s="49" t="e">
        <f>+#REF!</f>
        <v>#REF!</v>
      </c>
    </row>
    <row r="429" spans="18:18" x14ac:dyDescent="0.2">
      <c r="R429" s="49" t="e">
        <f>+#REF!</f>
        <v>#REF!</v>
      </c>
    </row>
    <row r="430" spans="18:18" x14ac:dyDescent="0.2">
      <c r="R430" s="49" t="e">
        <f>+#REF!</f>
        <v>#REF!</v>
      </c>
    </row>
    <row r="431" spans="18:18" x14ac:dyDescent="0.2">
      <c r="R431" s="49" t="e">
        <f>+#REF!</f>
        <v>#REF!</v>
      </c>
    </row>
    <row r="432" spans="18:18" x14ac:dyDescent="0.2">
      <c r="R432" s="49" t="e">
        <f>+#REF!</f>
        <v>#REF!</v>
      </c>
    </row>
    <row r="433" spans="18:18" x14ac:dyDescent="0.2">
      <c r="R433" s="49" t="e">
        <f>+#REF!</f>
        <v>#REF!</v>
      </c>
    </row>
    <row r="434" spans="18:18" x14ac:dyDescent="0.2">
      <c r="R434" s="49" t="e">
        <f>+#REF!</f>
        <v>#REF!</v>
      </c>
    </row>
    <row r="435" spans="18:18" x14ac:dyDescent="0.2">
      <c r="R435" s="49" t="e">
        <f>+#REF!</f>
        <v>#REF!</v>
      </c>
    </row>
    <row r="436" spans="18:18" x14ac:dyDescent="0.2">
      <c r="R436" s="49" t="e">
        <f>+#REF!</f>
        <v>#REF!</v>
      </c>
    </row>
    <row r="437" spans="18:18" x14ac:dyDescent="0.2">
      <c r="R437" s="49" t="e">
        <f>+#REF!</f>
        <v>#REF!</v>
      </c>
    </row>
    <row r="438" spans="18:18" x14ac:dyDescent="0.2">
      <c r="R438" s="49" t="e">
        <f>+#REF!</f>
        <v>#REF!</v>
      </c>
    </row>
    <row r="439" spans="18:18" x14ac:dyDescent="0.2">
      <c r="R439" s="49" t="e">
        <f>+#REF!</f>
        <v>#REF!</v>
      </c>
    </row>
    <row r="440" spans="18:18" x14ac:dyDescent="0.2">
      <c r="R440" s="49" t="e">
        <f>+#REF!</f>
        <v>#REF!</v>
      </c>
    </row>
    <row r="441" spans="18:18" x14ac:dyDescent="0.2">
      <c r="R441" s="49" t="e">
        <f>+#REF!</f>
        <v>#REF!</v>
      </c>
    </row>
    <row r="442" spans="18:18" x14ac:dyDescent="0.2">
      <c r="R442" s="49" t="e">
        <f>+#REF!</f>
        <v>#REF!</v>
      </c>
    </row>
    <row r="443" spans="18:18" x14ac:dyDescent="0.2">
      <c r="R443" s="49" t="e">
        <f>+#REF!</f>
        <v>#REF!</v>
      </c>
    </row>
    <row r="444" spans="18:18" x14ac:dyDescent="0.2">
      <c r="R444" s="49" t="e">
        <f>+#REF!</f>
        <v>#REF!</v>
      </c>
    </row>
    <row r="445" spans="18:18" x14ac:dyDescent="0.2">
      <c r="R445" s="49" t="e">
        <f>+#REF!</f>
        <v>#REF!</v>
      </c>
    </row>
    <row r="446" spans="18:18" x14ac:dyDescent="0.2">
      <c r="R446" s="49" t="e">
        <f>+#REF!</f>
        <v>#REF!</v>
      </c>
    </row>
    <row r="447" spans="18:18" x14ac:dyDescent="0.2">
      <c r="R447" s="49" t="e">
        <f>+#REF!</f>
        <v>#REF!</v>
      </c>
    </row>
    <row r="448" spans="18:18" x14ac:dyDescent="0.2">
      <c r="R448" s="49" t="e">
        <f>+#REF!</f>
        <v>#REF!</v>
      </c>
    </row>
    <row r="449" spans="18:18" x14ac:dyDescent="0.2">
      <c r="R449" s="49" t="e">
        <f>+#REF!</f>
        <v>#REF!</v>
      </c>
    </row>
    <row r="450" spans="18:18" x14ac:dyDescent="0.2">
      <c r="R450" s="49" t="e">
        <f>+#REF!</f>
        <v>#REF!</v>
      </c>
    </row>
    <row r="451" spans="18:18" x14ac:dyDescent="0.2">
      <c r="R451" s="49" t="e">
        <f>+#REF!</f>
        <v>#REF!</v>
      </c>
    </row>
    <row r="452" spans="18:18" x14ac:dyDescent="0.2">
      <c r="R452" s="49" t="e">
        <f>+#REF!</f>
        <v>#REF!</v>
      </c>
    </row>
    <row r="453" spans="18:18" x14ac:dyDescent="0.2">
      <c r="R453" s="49" t="e">
        <f>+#REF!</f>
        <v>#REF!</v>
      </c>
    </row>
    <row r="454" spans="18:18" x14ac:dyDescent="0.2">
      <c r="R454" s="49" t="e">
        <f>+#REF!</f>
        <v>#REF!</v>
      </c>
    </row>
    <row r="455" spans="18:18" x14ac:dyDescent="0.2">
      <c r="R455" s="49" t="e">
        <f>+#REF!</f>
        <v>#REF!</v>
      </c>
    </row>
    <row r="456" spans="18:18" x14ac:dyDescent="0.2">
      <c r="R456" s="49" t="e">
        <f>+#REF!</f>
        <v>#REF!</v>
      </c>
    </row>
    <row r="457" spans="18:18" x14ac:dyDescent="0.2">
      <c r="R457" s="49" t="e">
        <f>+#REF!</f>
        <v>#REF!</v>
      </c>
    </row>
    <row r="458" spans="18:18" x14ac:dyDescent="0.2">
      <c r="R458" s="49" t="e">
        <f>+#REF!</f>
        <v>#REF!</v>
      </c>
    </row>
    <row r="459" spans="18:18" x14ac:dyDescent="0.2">
      <c r="R459" s="49" t="e">
        <f>+#REF!</f>
        <v>#REF!</v>
      </c>
    </row>
    <row r="460" spans="18:18" x14ac:dyDescent="0.2">
      <c r="R460" s="49" t="e">
        <f>+#REF!</f>
        <v>#REF!</v>
      </c>
    </row>
    <row r="461" spans="18:18" x14ac:dyDescent="0.2">
      <c r="R461" s="49" t="e">
        <f>+#REF!</f>
        <v>#REF!</v>
      </c>
    </row>
    <row r="462" spans="18:18" x14ac:dyDescent="0.2">
      <c r="R462" s="49" t="e">
        <f>+#REF!</f>
        <v>#REF!</v>
      </c>
    </row>
    <row r="463" spans="18:18" x14ac:dyDescent="0.2">
      <c r="R463" s="49" t="e">
        <f>+#REF!</f>
        <v>#REF!</v>
      </c>
    </row>
    <row r="464" spans="18:18" x14ac:dyDescent="0.2">
      <c r="R464" s="49" t="e">
        <f>+#REF!</f>
        <v>#REF!</v>
      </c>
    </row>
    <row r="465" spans="18:18" x14ac:dyDescent="0.2">
      <c r="R465" s="49" t="e">
        <f>+#REF!</f>
        <v>#REF!</v>
      </c>
    </row>
    <row r="466" spans="18:18" x14ac:dyDescent="0.2">
      <c r="R466" s="49" t="e">
        <f>+#REF!</f>
        <v>#REF!</v>
      </c>
    </row>
    <row r="467" spans="18:18" x14ac:dyDescent="0.2">
      <c r="R467" s="49" t="e">
        <f>+#REF!</f>
        <v>#REF!</v>
      </c>
    </row>
    <row r="468" spans="18:18" x14ac:dyDescent="0.2">
      <c r="R468" s="49" t="e">
        <f>+#REF!</f>
        <v>#REF!</v>
      </c>
    </row>
    <row r="469" spans="18:18" x14ac:dyDescent="0.2">
      <c r="R469" s="49" t="e">
        <f>+#REF!</f>
        <v>#REF!</v>
      </c>
    </row>
    <row r="470" spans="18:18" x14ac:dyDescent="0.2">
      <c r="R470" s="49" t="e">
        <f>+#REF!</f>
        <v>#REF!</v>
      </c>
    </row>
    <row r="471" spans="18:18" x14ac:dyDescent="0.2">
      <c r="R471" s="49" t="e">
        <f>+#REF!</f>
        <v>#REF!</v>
      </c>
    </row>
    <row r="472" spans="18:18" x14ac:dyDescent="0.2">
      <c r="R472" s="49" t="e">
        <f>+#REF!</f>
        <v>#REF!</v>
      </c>
    </row>
    <row r="473" spans="18:18" x14ac:dyDescent="0.2">
      <c r="R473" s="49" t="e">
        <f>+#REF!</f>
        <v>#REF!</v>
      </c>
    </row>
    <row r="474" spans="18:18" x14ac:dyDescent="0.2">
      <c r="R474" s="49" t="e">
        <f>+#REF!</f>
        <v>#REF!</v>
      </c>
    </row>
    <row r="475" spans="18:18" x14ac:dyDescent="0.2">
      <c r="R475" s="49" t="e">
        <f>+#REF!</f>
        <v>#REF!</v>
      </c>
    </row>
    <row r="476" spans="18:18" x14ac:dyDescent="0.2">
      <c r="R476" s="49" t="e">
        <f>+#REF!</f>
        <v>#REF!</v>
      </c>
    </row>
    <row r="477" spans="18:18" x14ac:dyDescent="0.2">
      <c r="R477" s="49" t="e">
        <f>+#REF!</f>
        <v>#REF!</v>
      </c>
    </row>
    <row r="478" spans="18:18" x14ac:dyDescent="0.2">
      <c r="R478" s="49" t="e">
        <f>+#REF!</f>
        <v>#REF!</v>
      </c>
    </row>
    <row r="479" spans="18:18" x14ac:dyDescent="0.2">
      <c r="R479" s="49" t="e">
        <f>+#REF!</f>
        <v>#REF!</v>
      </c>
    </row>
    <row r="480" spans="18:18" x14ac:dyDescent="0.2">
      <c r="R480" s="49" t="e">
        <f>+#REF!</f>
        <v>#REF!</v>
      </c>
    </row>
    <row r="481" spans="18:18" x14ac:dyDescent="0.2">
      <c r="R481" s="49" t="e">
        <f>+#REF!</f>
        <v>#REF!</v>
      </c>
    </row>
    <row r="482" spans="18:18" x14ac:dyDescent="0.2">
      <c r="R482" s="49" t="e">
        <f>+#REF!</f>
        <v>#REF!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Input Data</vt:lpstr>
      <vt:lpstr>PAY Details</vt:lpstr>
      <vt:lpstr>I-FORM</vt:lpstr>
      <vt:lpstr>Diffrance</vt:lpstr>
      <vt:lpstr>form16</vt:lpstr>
      <vt:lpstr>accInt (3)</vt:lpstr>
      <vt:lpstr>Sheet1 (2)</vt:lpstr>
      <vt:lpstr>form16!Print_Area</vt:lpstr>
      <vt:lpstr>'I-FORM'!Print_Area</vt:lpstr>
      <vt:lpstr>'Input Data'!Print_Area</vt:lpstr>
      <vt:lpstr>'PAY Details'!Print_Area</vt:lpstr>
      <vt:lpstr>'PAY Details'!Print_Titles</vt:lpstr>
    </vt:vector>
  </TitlesOfParts>
  <Company>pwd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cl6001004</dc:creator>
  <cp:lastModifiedBy>YASH PURI</cp:lastModifiedBy>
  <cp:lastPrinted>2019-12-24T08:06:11Z</cp:lastPrinted>
  <dcterms:created xsi:type="dcterms:W3CDTF">2006-11-29T05:27:05Z</dcterms:created>
  <dcterms:modified xsi:type="dcterms:W3CDTF">2020-08-22T07:28:10Z</dcterms:modified>
</cp:coreProperties>
</file>