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 document\New folder\"/>
    </mc:Choice>
  </mc:AlternateContent>
  <bookViews>
    <workbookView xWindow="0" yWindow="0" windowWidth="24000" windowHeight="9735" tabRatio="786"/>
  </bookViews>
  <sheets>
    <sheet name="Calculation of Pension 6 pay" sheetId="4" r:id="rId1"/>
    <sheet name="Calculation of Pension 7 pay" sheetId="3" r:id="rId2"/>
    <sheet name="Calculation of Pension Diff" sheetId="5" r:id="rId3"/>
    <sheet name="7pay Commuted difftance" sheetId="6" r:id="rId4"/>
  </sheets>
  <definedNames>
    <definedName name="_xlnm.Print_Area" localSheetId="3">'7pay Commuted difftance'!$A$1:$E$34</definedName>
    <definedName name="_xlnm.Print_Area" localSheetId="0">'Calculation of Pension 6 pay'!$A$1:$E$34</definedName>
    <definedName name="_xlnm.Print_Area" localSheetId="1">'Calculation of Pension 7 pay'!$A$1:$E$34</definedName>
    <definedName name="_xlnm.Print_Area" localSheetId="2">'Calculation of Pension Diff'!$A$1:$E$34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6" l="1"/>
  <c r="E53" i="6"/>
  <c r="C51" i="6"/>
  <c r="E24" i="6" s="1"/>
  <c r="C46" i="6"/>
  <c r="D60" i="6" s="1"/>
  <c r="C41" i="6"/>
  <c r="C42" i="6" s="1"/>
  <c r="C43" i="6" s="1"/>
  <c r="E40" i="6"/>
  <c r="E41" i="6" s="1"/>
  <c r="D40" i="6"/>
  <c r="D41" i="6" s="1"/>
  <c r="D42" i="6" s="1"/>
  <c r="D43" i="6" s="1"/>
  <c r="C40" i="6"/>
  <c r="E39" i="6"/>
  <c r="D39" i="6"/>
  <c r="C39" i="6"/>
  <c r="C38" i="6"/>
  <c r="D9" i="6" s="1"/>
  <c r="E25" i="6"/>
  <c r="C24" i="6"/>
  <c r="C23" i="6"/>
  <c r="C15" i="6"/>
  <c r="D8" i="6"/>
  <c r="D7" i="6"/>
  <c r="D6" i="6"/>
  <c r="D4" i="6"/>
  <c r="D27" i="5"/>
  <c r="E25" i="5"/>
  <c r="E43" i="6" l="1"/>
  <c r="E44" i="6" s="1"/>
  <c r="D58" i="6" s="1"/>
  <c r="D56" i="6"/>
  <c r="C47" i="6"/>
  <c r="C49" i="6"/>
  <c r="D4" i="5"/>
  <c r="E23" i="6" l="1"/>
  <c r="E54" i="6"/>
  <c r="C53" i="6"/>
  <c r="C54" i="6" s="1"/>
  <c r="D8" i="5"/>
  <c r="D3" i="3" l="1"/>
  <c r="D2" i="3"/>
  <c r="D2" i="6" s="1"/>
  <c r="D3" i="5" l="1"/>
  <c r="D2" i="5"/>
  <c r="D6" i="3"/>
  <c r="D6" i="5" s="1"/>
  <c r="D7" i="3"/>
  <c r="D7" i="5" s="1"/>
  <c r="D8" i="3"/>
  <c r="E53" i="5" l="1"/>
  <c r="C46" i="5"/>
  <c r="D60" i="5" s="1"/>
  <c r="E40" i="5"/>
  <c r="E41" i="5" s="1"/>
  <c r="D40" i="5"/>
  <c r="D41" i="5" s="1"/>
  <c r="D42" i="5" s="1"/>
  <c r="D43" i="5" s="1"/>
  <c r="C40" i="5"/>
  <c r="C41" i="5" s="1"/>
  <c r="C42" i="5" s="1"/>
  <c r="C43" i="5" s="1"/>
  <c r="E39" i="5"/>
  <c r="D39" i="5"/>
  <c r="C39" i="5"/>
  <c r="C38" i="5"/>
  <c r="D9" i="5" s="1"/>
  <c r="C23" i="5"/>
  <c r="C24" i="5" s="1"/>
  <c r="E43" i="5" l="1"/>
  <c r="E44" i="5" s="1"/>
  <c r="D58" i="5" s="1"/>
  <c r="C51" i="5"/>
  <c r="E24" i="5" s="1"/>
  <c r="D56" i="5"/>
  <c r="C47" i="5"/>
  <c r="E53" i="4"/>
  <c r="C46" i="4"/>
  <c r="D60" i="4" s="1"/>
  <c r="E40" i="4"/>
  <c r="E41" i="4" s="1"/>
  <c r="D40" i="4"/>
  <c r="D41" i="4" s="1"/>
  <c r="D42" i="4" s="1"/>
  <c r="D43" i="4" s="1"/>
  <c r="C40" i="4"/>
  <c r="C41" i="4" s="1"/>
  <c r="C42" i="4" s="1"/>
  <c r="C43" i="4" s="1"/>
  <c r="E39" i="4"/>
  <c r="D39" i="4"/>
  <c r="C39" i="4"/>
  <c r="C38" i="4"/>
  <c r="D9" i="4" s="1"/>
  <c r="D28" i="4"/>
  <c r="D28" i="6" s="1"/>
  <c r="C23" i="4"/>
  <c r="C24" i="4" s="1"/>
  <c r="C49" i="5" l="1"/>
  <c r="E23" i="5"/>
  <c r="C53" i="5"/>
  <c r="E43" i="4"/>
  <c r="E44" i="4" s="1"/>
  <c r="D58" i="4" s="1"/>
  <c r="C51" i="4"/>
  <c r="D56" i="4"/>
  <c r="C47" i="4"/>
  <c r="D28" i="3"/>
  <c r="D28" i="5" s="1"/>
  <c r="C54" i="5" l="1"/>
  <c r="E54" i="5"/>
  <c r="C49" i="4"/>
  <c r="C19" i="4" s="1"/>
  <c r="E24" i="4"/>
  <c r="C17" i="4"/>
  <c r="C15" i="4"/>
  <c r="E25" i="4" s="1"/>
  <c r="C53" i="4"/>
  <c r="E54" i="4" s="1"/>
  <c r="E23" i="4"/>
  <c r="E53" i="3"/>
  <c r="C21" i="4" l="1"/>
  <c r="C54" i="4"/>
  <c r="C13" i="4" s="1"/>
  <c r="C13" i="6" s="1"/>
  <c r="C16" i="4"/>
  <c r="C12" i="4"/>
  <c r="C12" i="6" s="1"/>
  <c r="C46" i="3"/>
  <c r="C51" i="3" s="1"/>
  <c r="C23" i="3"/>
  <c r="C24" i="3" s="1"/>
  <c r="E40" i="3"/>
  <c r="E41" i="3" s="1"/>
  <c r="D40" i="3"/>
  <c r="D41" i="3" s="1"/>
  <c r="D42" i="3" s="1"/>
  <c r="D43" i="3" s="1"/>
  <c r="C40" i="3"/>
  <c r="C41" i="3" s="1"/>
  <c r="C42" i="3" s="1"/>
  <c r="C43" i="3" s="1"/>
  <c r="E39" i="3"/>
  <c r="D39" i="3"/>
  <c r="C39" i="3"/>
  <c r="C38" i="3"/>
  <c r="D9" i="3" s="1"/>
  <c r="D27" i="4" l="1"/>
  <c r="C16" i="6"/>
  <c r="D33" i="4"/>
  <c r="C19" i="6"/>
  <c r="C21" i="6" s="1"/>
  <c r="D33" i="6" s="1"/>
  <c r="D34" i="6" s="1"/>
  <c r="D32" i="4"/>
  <c r="E43" i="3"/>
  <c r="E44" i="3" s="1"/>
  <c r="D58" i="3" s="1"/>
  <c r="D60" i="3"/>
  <c r="D56" i="3"/>
  <c r="C17" i="3"/>
  <c r="C17" i="5" s="1"/>
  <c r="E24" i="3"/>
  <c r="C47" i="3"/>
  <c r="C15" i="3" s="1"/>
  <c r="C15" i="5" s="1"/>
  <c r="C17" i="6" l="1"/>
  <c r="D27" i="6"/>
  <c r="E27" i="6" s="1"/>
  <c r="D34" i="4"/>
  <c r="C49" i="3"/>
  <c r="C19" i="3" s="1"/>
  <c r="E23" i="3"/>
  <c r="E25" i="3"/>
  <c r="C53" i="3"/>
  <c r="C16" i="3" s="1"/>
  <c r="D27" i="3" l="1"/>
  <c r="E27" i="3" s="1"/>
  <c r="C16" i="5"/>
  <c r="E27" i="5" s="1"/>
  <c r="C21" i="3"/>
  <c r="C12" i="3"/>
  <c r="C12" i="5" s="1"/>
  <c r="E54" i="3"/>
  <c r="C54" i="3"/>
  <c r="C13" i="3" s="1"/>
  <c r="C19" i="5" l="1"/>
  <c r="C21" i="5" s="1"/>
  <c r="D33" i="5" s="1"/>
  <c r="D34" i="5" s="1"/>
  <c r="C13" i="5"/>
  <c r="D33" i="3"/>
  <c r="D32" i="3" l="1"/>
  <c r="D34" i="3" s="1"/>
</calcChain>
</file>

<file path=xl/comments1.xml><?xml version="1.0" encoding="utf-8"?>
<comments xmlns="http://schemas.openxmlformats.org/spreadsheetml/2006/main">
  <authors>
    <author>Pramod Puri</author>
    <author>Shriram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Last Basic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 last Grade Pay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Use     /  or   -  in date format </t>
        </r>
      </text>
    </comment>
    <comment ref="D7" authorId="1" shapeId="0">
      <text>
        <r>
          <rPr>
            <b/>
            <sz val="9"/>
            <color indexed="81"/>
            <rFont val="Tahoma"/>
          </rPr>
          <t>Shriram:</t>
        </r>
        <r>
          <rPr>
            <sz val="9"/>
            <color indexed="81"/>
            <rFont val="Tahoma"/>
          </rPr>
          <t xml:space="preserve">
जर कर्मचारी हा रुपांतरीत आ.पनेचा असेल तेहा रूजू दिनांकात २.६ वर्ष मिळवावे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Use     /  or   -  in date format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Pramod Puri:</t>
        </r>
        <r>
          <rPr>
            <sz val="9"/>
            <color indexed="81"/>
            <rFont val="Tahoma"/>
            <charset val="1"/>
          </rPr>
          <t xml:space="preserve">
Please dropdown (</t>
        </r>
        <r>
          <rPr>
            <b/>
            <sz val="9"/>
            <color indexed="81"/>
            <rFont val="Tahoma"/>
            <family val="2"/>
          </rPr>
          <t>Click)</t>
        </r>
        <r>
          <rPr>
            <sz val="9"/>
            <color indexed="81"/>
            <rFont val="Tahoma"/>
            <charset val="1"/>
          </rPr>
          <t xml:space="preserve"> value selected for next year age completed.  i.e. retirement age 58 so take value on age 59 in column H कृपया Drop Down मधुन आपले सेवानिवृत्तीचे वय ५८ असल्यामुळे Value  ही ५९ वर्षासाठी दर्शविलेली घ्यावी.  पुढील वर्षाच्या वयावर ही गणना होते.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 amount if recovery of any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कृपया महागाई भत्ता टाकावा.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शिल्लक रजा येथे नोंदवाव्यात.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</t>
        </r>
      </text>
    </comment>
    <comment ref="B30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Please Clik on G.IS. And add information and submitted.  If Promossion Please add  more row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 from G.I.S Calculation sheet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</t>
        </r>
      </text>
    </comment>
  </commentList>
</comments>
</file>

<file path=xl/comments2.xml><?xml version="1.0" encoding="utf-8"?>
<comments xmlns="http://schemas.openxmlformats.org/spreadsheetml/2006/main">
  <authors>
    <author>Pramod Puri</author>
    <author>Shriram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Last Basic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 last Grade Pay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Use     /  or   -  in date format </t>
        </r>
      </text>
    </comment>
    <comment ref="D7" authorId="1" shapeId="0">
      <text>
        <r>
          <rPr>
            <b/>
            <sz val="9"/>
            <color indexed="81"/>
            <rFont val="Tahoma"/>
          </rPr>
          <t>Shriram:</t>
        </r>
        <r>
          <rPr>
            <sz val="9"/>
            <color indexed="81"/>
            <rFont val="Tahoma"/>
          </rPr>
          <t xml:space="preserve">
जर कर्मचारी हा रुपांतरीत आ.पनेचा असेल तेहा रूजू दिनांकात २.६ वर्ष मिळवावे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Use     /  or   -  in date format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Pramod Puri:</t>
        </r>
        <r>
          <rPr>
            <sz val="9"/>
            <color indexed="81"/>
            <rFont val="Tahoma"/>
            <charset val="1"/>
          </rPr>
          <t xml:space="preserve">
Please dropdown (</t>
        </r>
        <r>
          <rPr>
            <b/>
            <sz val="9"/>
            <color indexed="81"/>
            <rFont val="Tahoma"/>
            <family val="2"/>
          </rPr>
          <t>Click)</t>
        </r>
        <r>
          <rPr>
            <sz val="9"/>
            <color indexed="81"/>
            <rFont val="Tahoma"/>
            <charset val="1"/>
          </rPr>
          <t xml:space="preserve"> value selected for next year age completed.  i.e. retirement age 58 so take value on age 59 in column H कृपया Drop Down मधुन आपले सेवानिवृत्तीचे वय ५८ असल्यामुळे Value  ही ५९ वर्षासाठी दर्शविलेली घ्यावी.  पुढील वर्षाच्या वयावर ही गणना होते.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 amount if recovery of any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कृपया महागाई भत्ता टाकावा.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शिल्लक रजा येथे नोंदवाव्यात.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</t>
        </r>
      </text>
    </comment>
    <comment ref="B30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Please Clik on G.IS. And add information and submitted.  If Promossion Please add  more row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 from G.I.S Calculation sheet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</t>
        </r>
      </text>
    </comment>
  </commentList>
</comments>
</file>

<file path=xl/comments3.xml><?xml version="1.0" encoding="utf-8"?>
<comments xmlns="http://schemas.openxmlformats.org/spreadsheetml/2006/main">
  <authors>
    <author>Pramod Puri</author>
    <author>Shriram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Last Basic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 last Grade Pay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Use     /  or   -  in date format </t>
        </r>
      </text>
    </comment>
    <comment ref="D7" authorId="1" shapeId="0">
      <text>
        <r>
          <rPr>
            <b/>
            <sz val="9"/>
            <color indexed="81"/>
            <rFont val="Tahoma"/>
          </rPr>
          <t>Shriram:</t>
        </r>
        <r>
          <rPr>
            <sz val="9"/>
            <color indexed="81"/>
            <rFont val="Tahoma"/>
          </rPr>
          <t xml:space="preserve">
जर कर्मचारी हा रुपांतरीत आ.पनेचा असेल तेहा रूजू दिनांकात २.६ वर्ष मिळवावे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Use     /  or   -  in date format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Pramod Puri:</t>
        </r>
        <r>
          <rPr>
            <sz val="9"/>
            <color indexed="81"/>
            <rFont val="Tahoma"/>
            <charset val="1"/>
          </rPr>
          <t xml:space="preserve">
Please dropdown (</t>
        </r>
        <r>
          <rPr>
            <b/>
            <sz val="9"/>
            <color indexed="81"/>
            <rFont val="Tahoma"/>
            <family val="2"/>
          </rPr>
          <t>Click)</t>
        </r>
        <r>
          <rPr>
            <sz val="9"/>
            <color indexed="81"/>
            <rFont val="Tahoma"/>
            <charset val="1"/>
          </rPr>
          <t xml:space="preserve"> value selected for next year age completed.  i.e. retirement age 58 so take value on age 59 in column H कृपया Drop Down मधुन आपले सेवानिवृत्तीचे वय ५८ असल्यामुळे Value  ही ५९ वर्षासाठी दर्शविलेली घ्यावी.  पुढील वर्षाच्या वयावर ही गणना होते.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 amount if recovery of any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कृपया महागाई भत्ता टाकावा.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शिल्लक रजा येथे नोंदवाव्यात.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</t>
        </r>
      </text>
    </comment>
    <comment ref="B30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Please Clik on G.IS. And add information and submitted.  If Promossion Please add  more row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 from G.I.S Calculation sheet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</t>
        </r>
      </text>
    </comment>
  </commentList>
</comments>
</file>

<file path=xl/comments4.xml><?xml version="1.0" encoding="utf-8"?>
<comments xmlns="http://schemas.openxmlformats.org/spreadsheetml/2006/main">
  <authors>
    <author>Pramod Puri</author>
    <author>Shriram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Last Basic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 last Grade Pay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Use     /  or   -  in date format </t>
        </r>
      </text>
    </comment>
    <comment ref="D7" authorId="1" shapeId="0">
      <text>
        <r>
          <rPr>
            <b/>
            <sz val="9"/>
            <color indexed="81"/>
            <rFont val="Tahoma"/>
          </rPr>
          <t>Shriram:</t>
        </r>
        <r>
          <rPr>
            <sz val="9"/>
            <color indexed="81"/>
            <rFont val="Tahoma"/>
          </rPr>
          <t xml:space="preserve">
जर कर्मचारी हा रुपांतरीत आ.पनेचा असेल तेहा रूजू दिनांकात २.६ वर्ष मिळवावे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Use     /  or   -  in date format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Pramod Puri:</t>
        </r>
        <r>
          <rPr>
            <sz val="9"/>
            <color indexed="81"/>
            <rFont val="Tahoma"/>
            <charset val="1"/>
          </rPr>
          <t xml:space="preserve">
Please dropdown (</t>
        </r>
        <r>
          <rPr>
            <b/>
            <sz val="9"/>
            <color indexed="81"/>
            <rFont val="Tahoma"/>
            <family val="2"/>
          </rPr>
          <t>Click)</t>
        </r>
        <r>
          <rPr>
            <sz val="9"/>
            <color indexed="81"/>
            <rFont val="Tahoma"/>
            <charset val="1"/>
          </rPr>
          <t xml:space="preserve"> value selected for next year age completed.  i.e. retirement age 58 so take value on age 59 in column H कृपया Drop Down मधुन आपले सेवानिवृत्तीचे वय ५८ असल्यामुळे Value  ही ५९ वर्षासाठी दर्शविलेली घ्यावी.  पुढील वर्षाच्या वयावर ही गणना होते.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 amount if recovery of any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कृपया महागाई भत्ता टाकावा.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शिल्लक रजा येथे नोंदवाव्यात.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</t>
        </r>
      </text>
    </comment>
    <comment ref="B30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Please Clik on G.IS. And add information and submitted.  If Promossion Please add  more row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 from G.I.S Calculation sheet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Please Add</t>
        </r>
      </text>
    </comment>
  </commentList>
</comments>
</file>

<file path=xl/sharedStrings.xml><?xml version="1.0" encoding="utf-8"?>
<sst xmlns="http://schemas.openxmlformats.org/spreadsheetml/2006/main" count="351" uniqueCount="70">
  <si>
    <t>Commuted Value of Pension</t>
  </si>
  <si>
    <t>CVP Rate</t>
  </si>
  <si>
    <t>Commuted Monthly Pension amount</t>
  </si>
  <si>
    <t>Pension</t>
  </si>
  <si>
    <t>Total Pension Amount</t>
  </si>
  <si>
    <t>Retirement Gratuity</t>
  </si>
  <si>
    <t>Gratuity Amount</t>
  </si>
  <si>
    <t>Family Pension</t>
  </si>
  <si>
    <t>Name</t>
  </si>
  <si>
    <t>Designation</t>
  </si>
  <si>
    <t>Date of Joining</t>
  </si>
  <si>
    <t>Date of Birth</t>
  </si>
  <si>
    <t>×­Ö¾Öé¢Öß ¾ÖêŸÖ­Ö</t>
  </si>
  <si>
    <t xml:space="preserve"> 1/2 </t>
  </si>
  <si>
    <t xml:space="preserve"> x </t>
  </si>
  <si>
    <t>ˆ¯Ö¤üÖ­Ö</t>
  </si>
  <si>
    <t>मर्यादित रुपये 7,00,000/-</t>
  </si>
  <si>
    <t xml:space="preserve"> 1/4 </t>
  </si>
  <si>
    <t>कुटूंब निवृत्ती वेतन</t>
  </si>
  <si>
    <t xml:space="preserve">30% </t>
  </si>
  <si>
    <t>अंशराशीकरण</t>
  </si>
  <si>
    <t>Date of Retirement</t>
  </si>
  <si>
    <t>YEAR(D9)-YEAR(D7)-IF(OR(MONTH(D9)&lt;MONTH(D7),AND(MONTH(D9)=MONTH(D7), DAY(D9)&lt;DAY(D7))),1,0)&amp;" years, "&amp;MONTH(D9)-MONTH(D7)+IF(AND(MONTH(D9) &lt;=MONTH(D7),DAY(D9)&lt;DAY(D7)),11,IF(AND(MONTH(D9)&lt;MONTH(D7),DAY(D9) &gt;=DAY(D7)),12,IF(AND(MONTH(D9)&gt;MONTH(D7),DAY(D9)&lt;DAY(D7)),-1)))&amp;" months, "&amp;D9-DATE(YEAR(D9),MONTH(D9)-IF(DAY(D9)&lt;DAY(D7),1,0),DAY(D7))&amp;" days"</t>
  </si>
  <si>
    <t>:-</t>
  </si>
  <si>
    <t>Basic (Last Month)</t>
  </si>
  <si>
    <t>Grade Pay (Last Month)</t>
  </si>
  <si>
    <t>Next Year Age      51</t>
  </si>
  <si>
    <t>Class IV                     61</t>
  </si>
  <si>
    <t xml:space="preserve"> Class III                     59</t>
  </si>
  <si>
    <t xml:space="preserve"> स्वेच्छासेवानिवृत्ती        54</t>
  </si>
  <si>
    <t xml:space="preserve"> स्वेच्छासेवानिवृत्ती        52</t>
  </si>
  <si>
    <t xml:space="preserve"> स्वेच्छासेवानिवृत्ती        53</t>
  </si>
  <si>
    <t xml:space="preserve"> स्वेच्छासेवानिवृत्ती         55</t>
  </si>
  <si>
    <t xml:space="preserve"> स्वेच्छासेवानिवृत्ती        56</t>
  </si>
  <si>
    <t xml:space="preserve">  स्वेच्छासेवानिवृत्ती        57</t>
  </si>
  <si>
    <t xml:space="preserve">  स्वेच्छासेवानिवृत्ती        58</t>
  </si>
  <si>
    <t xml:space="preserve">  स्वेच्छासेवानिवृत्ती        60</t>
  </si>
  <si>
    <t>Todays D.A.</t>
  </si>
  <si>
    <t>Length of Service</t>
  </si>
  <si>
    <t>Reduced Pension Amount (12-13)</t>
  </si>
  <si>
    <t>Net Gratuity (15-16)</t>
  </si>
  <si>
    <t>Leave Encashment</t>
  </si>
  <si>
    <t>G.P.F. (As Per your investment)</t>
  </si>
  <si>
    <t>G.I.S. (As per Calcutation)</t>
  </si>
  <si>
    <t>Total Amount in your hand after Retirement</t>
  </si>
  <si>
    <t>All Benefits after retirement</t>
  </si>
  <si>
    <t>Withheld Gratuity / Govt Recovery /other Recovery etc.</t>
  </si>
  <si>
    <t xml:space="preserve">Pension in Hand </t>
  </si>
  <si>
    <t>लाल रंगातीलच माहीती भरावी</t>
  </si>
  <si>
    <t>Enhanced Family Pension (Upton 7 years than retirement or death which ever is earlier) Date  and Amount</t>
  </si>
  <si>
    <t>Family Pension  (After 7 years than retirement or death which ever is latter) Date  and Amount</t>
  </si>
  <si>
    <t>I</t>
  </si>
  <si>
    <t>II</t>
  </si>
  <si>
    <t>III</t>
  </si>
  <si>
    <t>IV</t>
  </si>
  <si>
    <t>V</t>
  </si>
  <si>
    <t>VI</t>
  </si>
  <si>
    <t>VII</t>
  </si>
  <si>
    <t>VIII</t>
  </si>
  <si>
    <t>Transfer T.A. Bill ( Retirement place to your home Town)</t>
  </si>
  <si>
    <t>Tresury</t>
  </si>
  <si>
    <t>DDO</t>
  </si>
  <si>
    <t>टिप :- जर एखादया कर्मचाऱ्याचा सेवेत असतांना मृत्यु झाला असेल तर</t>
  </si>
  <si>
    <t xml:space="preserve"> १. ठेव संलग्न विमा योजना अंतर्गत रू 60,000/- किंवा सामान्य प्रशासन विभाग दि. 15/01/2013 नुसार रक्क्म मिळते.</t>
  </si>
  <si>
    <t>२. G.I.S. चे रूपये 2.40, 3.60, 4.80, 9.60 लक्ष रूपये मिळतात.</t>
  </si>
  <si>
    <t>३.H.B.A. चे व्याज माफ होते.  सदरचे व्याज / रक्कम ग्रॅज्युटीपेक्षा जास्त असल्यास ती क्षमापीत होते. वित्त विभाग दिनांक 20/02/2012 पहावे.</t>
  </si>
  <si>
    <t>Withheld Gratuity / Govt-other  Recovery.</t>
  </si>
  <si>
    <t>Pramod Puri</t>
  </si>
  <si>
    <t>Senior Clerk</t>
  </si>
  <si>
    <t>My Commuted after modified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</si>
</sst>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DVB-TTSurekh"/>
      <family val="5"/>
    </font>
    <font>
      <b/>
      <sz val="14"/>
      <name val="DVB-TTSurekh"/>
      <family val="5"/>
    </font>
    <font>
      <sz val="11"/>
      <name val="DVOT-Surek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b/>
      <sz val="11"/>
      <color rgb="FFFFFF0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5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3" fillId="0" borderId="0" xfId="1" applyNumberFormat="1" applyFont="1" applyBorder="1" applyAlignment="1">
      <alignment horizontal="center" vertical="top"/>
    </xf>
    <xf numFmtId="1" fontId="3" fillId="0" borderId="5" xfId="1" applyNumberFormat="1" applyFont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5" xfId="1" applyNumberFormat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5" xfId="1" applyFont="1" applyFill="1" applyBorder="1" applyAlignment="1">
      <alignment horizontal="center" vertical="top"/>
    </xf>
    <xf numFmtId="0" fontId="0" fillId="0" borderId="5" xfId="0" applyBorder="1" applyAlignment="1">
      <alignment vertical="top"/>
    </xf>
    <xf numFmtId="0" fontId="4" fillId="0" borderId="4" xfId="1" applyFont="1" applyBorder="1" applyAlignment="1">
      <alignment vertical="top"/>
    </xf>
    <xf numFmtId="2" fontId="4" fillId="0" borderId="0" xfId="1" applyNumberFormat="1" applyFont="1" applyBorder="1" applyAlignment="1">
      <alignment vertical="top"/>
    </xf>
    <xf numFmtId="0" fontId="4" fillId="0" borderId="0" xfId="1" applyFont="1" applyBorder="1" applyAlignment="1">
      <alignment vertical="top"/>
    </xf>
    <xf numFmtId="49" fontId="4" fillId="0" borderId="0" xfId="1" applyNumberFormat="1" applyFont="1" applyBorder="1" applyAlignment="1">
      <alignment vertical="top"/>
    </xf>
    <xf numFmtId="0" fontId="4" fillId="0" borderId="5" xfId="1" applyFont="1" applyBorder="1" applyAlignment="1">
      <alignment vertical="top"/>
    </xf>
    <xf numFmtId="2" fontId="4" fillId="0" borderId="5" xfId="1" applyNumberFormat="1" applyFont="1" applyBorder="1" applyAlignment="1">
      <alignment vertical="top"/>
    </xf>
    <xf numFmtId="49" fontId="4" fillId="0" borderId="4" xfId="1" applyNumberFormat="1" applyFont="1" applyBorder="1" applyAlignment="1">
      <alignment vertical="top"/>
    </xf>
    <xf numFmtId="49" fontId="4" fillId="0" borderId="5" xfId="1" applyNumberFormat="1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NumberFormat="1" applyBorder="1" applyAlignment="1">
      <alignment vertical="top"/>
    </xf>
    <xf numFmtId="14" fontId="0" fillId="0" borderId="5" xfId="0" applyNumberFormat="1" applyBorder="1" applyAlignment="1">
      <alignment vertical="top"/>
    </xf>
    <xf numFmtId="0" fontId="0" fillId="3" borderId="0" xfId="0" applyFill="1" applyAlignment="1">
      <alignment vertical="top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3" borderId="0" xfId="0" applyFill="1" applyBorder="1" applyAlignment="1">
      <alignment horizontal="right" vertical="top"/>
    </xf>
    <xf numFmtId="0" fontId="0" fillId="2" borderId="0" xfId="0" applyFill="1" applyBorder="1" applyAlignment="1">
      <alignment vertical="top"/>
    </xf>
    <xf numFmtId="0" fontId="0" fillId="4" borderId="0" xfId="0" applyFill="1" applyBorder="1" applyAlignment="1">
      <alignment horizontal="right" vertical="top"/>
    </xf>
    <xf numFmtId="0" fontId="0" fillId="4" borderId="0" xfId="0" applyFill="1" applyAlignment="1">
      <alignment vertical="top"/>
    </xf>
    <xf numFmtId="0" fontId="3" fillId="0" borderId="0" xfId="0" applyFont="1" applyFill="1"/>
    <xf numFmtId="0" fontId="3" fillId="0" borderId="0" xfId="0" applyNumberFormat="1" applyFont="1" applyFill="1" applyAlignment="1">
      <alignment horizontal="center"/>
    </xf>
    <xf numFmtId="0" fontId="0" fillId="5" borderId="19" xfId="0" applyFill="1" applyBorder="1" applyAlignment="1">
      <alignment vertical="top"/>
    </xf>
    <xf numFmtId="0" fontId="0" fillId="5" borderId="24" xfId="0" applyFill="1" applyBorder="1" applyAlignment="1">
      <alignment vertical="top"/>
    </xf>
    <xf numFmtId="0" fontId="1" fillId="5" borderId="9" xfId="0" applyFont="1" applyFill="1" applyBorder="1" applyAlignment="1">
      <alignment vertical="top"/>
    </xf>
    <xf numFmtId="0" fontId="0" fillId="5" borderId="18" xfId="0" applyFill="1" applyBorder="1" applyAlignment="1">
      <alignment vertical="top"/>
    </xf>
    <xf numFmtId="0" fontId="0" fillId="5" borderId="26" xfId="0" applyFill="1" applyBorder="1" applyAlignment="1">
      <alignment vertical="top"/>
    </xf>
    <xf numFmtId="0" fontId="1" fillId="5" borderId="11" xfId="0" applyFont="1" applyFill="1" applyBorder="1" applyAlignment="1">
      <alignment vertical="top"/>
    </xf>
    <xf numFmtId="0" fontId="0" fillId="5" borderId="9" xfId="0" applyFill="1" applyBorder="1" applyAlignment="1">
      <alignment horizontal="left" vertical="top" wrapText="1"/>
    </xf>
    <xf numFmtId="0" fontId="1" fillId="5" borderId="11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2" fontId="0" fillId="5" borderId="27" xfId="0" applyNumberFormat="1" applyFill="1" applyBorder="1" applyAlignment="1">
      <alignment horizontal="center" vertical="top"/>
    </xf>
    <xf numFmtId="0" fontId="0" fillId="5" borderId="11" xfId="0" applyFill="1" applyBorder="1" applyAlignment="1">
      <alignment vertical="top"/>
    </xf>
    <xf numFmtId="0" fontId="1" fillId="5" borderId="35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top"/>
    </xf>
    <xf numFmtId="2" fontId="0" fillId="5" borderId="30" xfId="0" applyNumberFormat="1" applyFont="1" applyFill="1" applyBorder="1" applyAlignment="1">
      <alignment vertical="top"/>
    </xf>
    <xf numFmtId="0" fontId="0" fillId="5" borderId="37" xfId="0" applyFont="1" applyFill="1" applyBorder="1" applyAlignment="1">
      <alignment horizontal="left" vertical="top"/>
    </xf>
    <xf numFmtId="0" fontId="0" fillId="5" borderId="24" xfId="0" applyFill="1" applyBorder="1" applyAlignment="1">
      <alignment horizontal="center" vertical="center"/>
    </xf>
    <xf numFmtId="0" fontId="0" fillId="5" borderId="9" xfId="0" applyFill="1" applyBorder="1" applyAlignment="1">
      <alignment vertical="top"/>
    </xf>
    <xf numFmtId="43" fontId="0" fillId="5" borderId="9" xfId="3" applyFont="1" applyFill="1" applyBorder="1" applyAlignment="1">
      <alignment horizontal="center"/>
    </xf>
    <xf numFmtId="0" fontId="0" fillId="5" borderId="25" xfId="0" applyFill="1" applyBorder="1" applyAlignment="1">
      <alignment vertical="top"/>
    </xf>
    <xf numFmtId="0" fontId="0" fillId="5" borderId="26" xfId="0" applyFill="1" applyBorder="1" applyAlignment="1">
      <alignment horizontal="center" vertical="center"/>
    </xf>
    <xf numFmtId="43" fontId="0" fillId="5" borderId="11" xfId="3" applyFont="1" applyFill="1" applyBorder="1" applyAlignment="1">
      <alignment horizontal="center"/>
    </xf>
    <xf numFmtId="0" fontId="0" fillId="5" borderId="27" xfId="0" applyFill="1" applyBorder="1" applyAlignment="1">
      <alignment vertical="top"/>
    </xf>
    <xf numFmtId="0" fontId="0" fillId="6" borderId="22" xfId="0" applyFill="1" applyBorder="1" applyAlignment="1">
      <alignment vertical="top"/>
    </xf>
    <xf numFmtId="0" fontId="1" fillId="6" borderId="10" xfId="0" applyFont="1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6" borderId="24" xfId="0" applyFill="1" applyBorder="1" applyAlignment="1">
      <alignment vertical="top"/>
    </xf>
    <xf numFmtId="0" fontId="1" fillId="6" borderId="9" xfId="0" applyFont="1" applyFill="1" applyBorder="1" applyAlignment="1">
      <alignment vertical="top"/>
    </xf>
    <xf numFmtId="0" fontId="0" fillId="6" borderId="10" xfId="0" applyFill="1" applyBorder="1" applyAlignment="1">
      <alignment horizontal="left" vertical="top" wrapText="1"/>
    </xf>
    <xf numFmtId="0" fontId="0" fillId="6" borderId="26" xfId="0" applyFill="1" applyBorder="1" applyAlignment="1">
      <alignment vertical="top"/>
    </xf>
    <xf numFmtId="0" fontId="1" fillId="6" borderId="11" xfId="0" applyFont="1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2" fontId="0" fillId="6" borderId="23" xfId="0" applyNumberFormat="1" applyFill="1" applyBorder="1" applyAlignment="1">
      <alignment horizontal="center" vertical="top"/>
    </xf>
    <xf numFmtId="0" fontId="1" fillId="6" borderId="11" xfId="0" applyFont="1" applyFill="1" applyBorder="1" applyAlignment="1">
      <alignment horizontal="right" vertical="top"/>
    </xf>
    <xf numFmtId="0" fontId="0" fillId="6" borderId="11" xfId="0" applyFill="1" applyBorder="1" applyAlignment="1">
      <alignment vertical="top"/>
    </xf>
    <xf numFmtId="9" fontId="1" fillId="6" borderId="12" xfId="0" applyNumberFormat="1" applyFont="1" applyFill="1" applyBorder="1" applyAlignment="1">
      <alignment horizontal="left" vertical="top"/>
    </xf>
    <xf numFmtId="2" fontId="0" fillId="6" borderId="27" xfId="0" applyNumberFormat="1" applyFill="1" applyBorder="1" applyAlignment="1">
      <alignment vertical="top"/>
    </xf>
    <xf numFmtId="0" fontId="0" fillId="6" borderId="22" xfId="0" applyFill="1" applyBorder="1" applyAlignment="1">
      <alignment horizontal="center" vertical="center"/>
    </xf>
    <xf numFmtId="0" fontId="0" fillId="6" borderId="10" xfId="0" applyFont="1" applyFill="1" applyBorder="1" applyAlignment="1">
      <alignment vertical="top"/>
    </xf>
    <xf numFmtId="0" fontId="0" fillId="6" borderId="18" xfId="0" applyFill="1" applyBorder="1" applyAlignment="1">
      <alignment vertical="top"/>
    </xf>
    <xf numFmtId="43" fontId="10" fillId="6" borderId="10" xfId="3" applyFont="1" applyFill="1" applyBorder="1" applyAlignment="1">
      <alignment horizontal="center"/>
    </xf>
    <xf numFmtId="0" fontId="0" fillId="6" borderId="23" xfId="0" applyFill="1" applyBorder="1" applyAlignment="1">
      <alignment vertical="top"/>
    </xf>
    <xf numFmtId="0" fontId="0" fillId="6" borderId="24" xfId="0" applyFill="1" applyBorder="1" applyAlignment="1">
      <alignment horizontal="center" vertical="center"/>
    </xf>
    <xf numFmtId="0" fontId="11" fillId="6" borderId="9" xfId="4" applyFill="1" applyBorder="1" applyAlignment="1">
      <alignment vertical="top"/>
    </xf>
    <xf numFmtId="43" fontId="0" fillId="6" borderId="9" xfId="3" applyFont="1" applyFill="1" applyBorder="1" applyAlignment="1">
      <alignment horizontal="center"/>
    </xf>
    <xf numFmtId="0" fontId="0" fillId="6" borderId="25" xfId="0" applyFill="1" applyBorder="1" applyAlignment="1">
      <alignment vertical="top"/>
    </xf>
    <xf numFmtId="0" fontId="0" fillId="6" borderId="9" xfId="0" applyFont="1" applyFill="1" applyBorder="1" applyAlignment="1">
      <alignment horizontal="left" vertical="top" wrapText="1"/>
    </xf>
    <xf numFmtId="0" fontId="0" fillId="6" borderId="32" xfId="0" applyFill="1" applyBorder="1" applyAlignment="1">
      <alignment horizontal="center" vertical="center"/>
    </xf>
    <xf numFmtId="0" fontId="1" fillId="6" borderId="33" xfId="0" applyFont="1" applyFill="1" applyBorder="1" applyAlignment="1">
      <alignment vertical="top"/>
    </xf>
    <xf numFmtId="43" fontId="1" fillId="6" borderId="33" xfId="3" applyFont="1" applyFill="1" applyBorder="1" applyAlignment="1">
      <alignment horizontal="center"/>
    </xf>
    <xf numFmtId="0" fontId="0" fillId="6" borderId="34" xfId="0" applyFill="1" applyBorder="1" applyAlignment="1">
      <alignment vertical="top"/>
    </xf>
    <xf numFmtId="9" fontId="15" fillId="6" borderId="12" xfId="0" applyNumberFormat="1" applyFont="1" applyFill="1" applyBorder="1" applyAlignment="1">
      <alignment horizontal="left" vertical="top"/>
    </xf>
    <xf numFmtId="0" fontId="15" fillId="6" borderId="23" xfId="0" applyFont="1" applyFill="1" applyBorder="1" applyAlignment="1">
      <alignment vertical="top"/>
    </xf>
    <xf numFmtId="2" fontId="0" fillId="5" borderId="37" xfId="0" applyNumberFormat="1" applyFont="1" applyFill="1" applyBorder="1" applyAlignment="1">
      <alignment horizontal="right" vertical="top"/>
    </xf>
    <xf numFmtId="2" fontId="0" fillId="5" borderId="39" xfId="0" applyNumberFormat="1" applyFont="1" applyFill="1" applyBorder="1" applyAlignment="1">
      <alignment horizontal="left" vertical="top"/>
    </xf>
    <xf numFmtId="0" fontId="1" fillId="7" borderId="11" xfId="0" applyFont="1" applyFill="1" applyBorder="1" applyAlignment="1">
      <alignment horizontal="left" vertical="top" wrapText="1"/>
    </xf>
    <xf numFmtId="14" fontId="15" fillId="6" borderId="16" xfId="0" applyNumberFormat="1" applyFont="1" applyFill="1" applyBorder="1" applyAlignment="1">
      <alignment horizontal="center" vertical="top"/>
    </xf>
    <xf numFmtId="14" fontId="15" fillId="6" borderId="25" xfId="0" applyNumberFormat="1" applyFont="1" applyFill="1" applyBorder="1" applyAlignment="1">
      <alignment horizontal="center" vertical="top"/>
    </xf>
    <xf numFmtId="0" fontId="14" fillId="4" borderId="20" xfId="0" applyFont="1" applyFill="1" applyBorder="1" applyAlignment="1">
      <alignment horizontal="center" vertical="top"/>
    </xf>
    <xf numFmtId="0" fontId="14" fillId="4" borderId="21" xfId="0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15" fillId="5" borderId="16" xfId="0" applyFont="1" applyFill="1" applyBorder="1" applyAlignment="1">
      <alignment horizontal="center" vertical="top"/>
    </xf>
    <xf numFmtId="0" fontId="15" fillId="5" borderId="25" xfId="0" applyFont="1" applyFill="1" applyBorder="1" applyAlignment="1">
      <alignment horizontal="center" vertical="top"/>
    </xf>
    <xf numFmtId="0" fontId="15" fillId="6" borderId="16" xfId="0" applyFont="1" applyFill="1" applyBorder="1" applyAlignment="1">
      <alignment horizontal="center" vertical="top"/>
    </xf>
    <xf numFmtId="0" fontId="15" fillId="6" borderId="25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14" fontId="15" fillId="5" borderId="16" xfId="0" applyNumberFormat="1" applyFont="1" applyFill="1" applyBorder="1" applyAlignment="1">
      <alignment horizontal="center" vertical="top"/>
    </xf>
    <xf numFmtId="14" fontId="15" fillId="5" borderId="25" xfId="0" applyNumberFormat="1" applyFont="1" applyFill="1" applyBorder="1" applyAlignment="1">
      <alignment horizontal="center" vertical="top"/>
    </xf>
    <xf numFmtId="0" fontId="1" fillId="5" borderId="17" xfId="0" applyFont="1" applyFill="1" applyBorder="1" applyAlignment="1">
      <alignment horizontal="center" vertical="top"/>
    </xf>
    <xf numFmtId="0" fontId="1" fillId="5" borderId="27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38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top"/>
    </xf>
    <xf numFmtId="0" fontId="15" fillId="6" borderId="10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25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7" borderId="25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 vertical="center"/>
    </xf>
    <xf numFmtId="2" fontId="1" fillId="6" borderId="11" xfId="0" applyNumberFormat="1" applyFont="1" applyFill="1" applyBorder="1" applyAlignment="1">
      <alignment horizontal="center" vertical="center"/>
    </xf>
    <xf numFmtId="2" fontId="1" fillId="6" borderId="27" xfId="0" applyNumberFormat="1" applyFon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 vertical="top"/>
    </xf>
    <xf numFmtId="2" fontId="0" fillId="6" borderId="25" xfId="0" applyNumberFormat="1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5" borderId="25" xfId="0" applyFill="1" applyBorder="1" applyAlignment="1">
      <alignment horizontal="center" vertical="top"/>
    </xf>
    <xf numFmtId="2" fontId="1" fillId="5" borderId="11" xfId="0" applyNumberFormat="1" applyFont="1" applyFill="1" applyBorder="1" applyAlignment="1">
      <alignment horizontal="center" vertical="top"/>
    </xf>
    <xf numFmtId="2" fontId="1" fillId="5" borderId="27" xfId="0" applyNumberFormat="1" applyFont="1" applyFill="1" applyBorder="1" applyAlignment="1">
      <alignment horizontal="center" vertical="top"/>
    </xf>
    <xf numFmtId="14" fontId="0" fillId="6" borderId="10" xfId="0" applyNumberFormat="1" applyFill="1" applyBorder="1" applyAlignment="1">
      <alignment horizontal="center" vertical="top"/>
    </xf>
    <xf numFmtId="14" fontId="0" fillId="5" borderId="11" xfId="0" applyNumberForma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</cellXfs>
  <cellStyles count="5">
    <cellStyle name="Comma" xfId="3" builtinId="3"/>
    <cellStyle name="Hyperlink" xfId="4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hakosh.maharashtra.gov.in/gis/index.ph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ahakosh.maharashtra.gov.in/gis/index.ph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ahakosh.maharashtra.gov.in/gis/index.php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ahakosh.maharashtra.gov.in/gis/index.php" TargetMode="Externa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0"/>
  <sheetViews>
    <sheetView tabSelected="1" view="pageBreakPreview" zoomScale="220" zoomScaleNormal="100" zoomScaleSheetLayoutView="220" workbookViewId="0">
      <selection activeCell="F5" sqref="F5"/>
    </sheetView>
  </sheetViews>
  <sheetFormatPr defaultRowHeight="15" x14ac:dyDescent="0.25"/>
  <cols>
    <col min="1" max="1" width="3.140625" style="2" customWidth="1"/>
    <col min="2" max="2" width="38.28515625" style="2" customWidth="1"/>
    <col min="3" max="3" width="2.5703125" style="2" customWidth="1"/>
    <col min="4" max="4" width="16" style="2" customWidth="1"/>
    <col min="5" max="5" width="13.85546875" style="2" customWidth="1"/>
    <col min="6" max="6" width="37.28515625" style="5" customWidth="1"/>
    <col min="7" max="7" width="13.5703125" style="5" customWidth="1"/>
    <col min="8" max="8" width="22.42578125" style="5" customWidth="1"/>
    <col min="9" max="9" width="9.140625" style="2" customWidth="1"/>
    <col min="10" max="10" width="23.7109375" style="2" customWidth="1"/>
    <col min="11" max="11" width="9.140625" style="2"/>
    <col min="12" max="12" width="41.28515625" style="2" customWidth="1"/>
    <col min="13" max="16384" width="9.140625" style="2"/>
  </cols>
  <sheetData>
    <row r="1" spans="1:9" ht="16.5" thickTop="1" thickBot="1" x14ac:dyDescent="0.3">
      <c r="A1" s="44"/>
      <c r="B1" s="102" t="s">
        <v>69</v>
      </c>
      <c r="C1" s="102"/>
      <c r="D1" s="102"/>
      <c r="E1" s="103"/>
      <c r="F1" s="39" t="s">
        <v>48</v>
      </c>
    </row>
    <row r="2" spans="1:9" ht="22.5" customHeight="1" x14ac:dyDescent="0.25">
      <c r="A2" s="67">
        <v>1</v>
      </c>
      <c r="B2" s="68" t="s">
        <v>8</v>
      </c>
      <c r="C2" s="69" t="s">
        <v>23</v>
      </c>
      <c r="D2" s="104" t="s">
        <v>67</v>
      </c>
      <c r="E2" s="105"/>
    </row>
    <row r="3" spans="1:9" ht="22.5" customHeight="1" x14ac:dyDescent="0.25">
      <c r="A3" s="45">
        <v>2</v>
      </c>
      <c r="B3" s="46" t="s">
        <v>9</v>
      </c>
      <c r="C3" s="61" t="s">
        <v>23</v>
      </c>
      <c r="D3" s="106" t="s">
        <v>68</v>
      </c>
      <c r="E3" s="107"/>
    </row>
    <row r="4" spans="1:9" ht="22.5" customHeight="1" x14ac:dyDescent="0.25">
      <c r="A4" s="70">
        <v>3</v>
      </c>
      <c r="B4" s="71" t="s">
        <v>24</v>
      </c>
      <c r="C4" s="69" t="s">
        <v>23</v>
      </c>
      <c r="D4" s="108">
        <v>11470</v>
      </c>
      <c r="E4" s="109"/>
    </row>
    <row r="5" spans="1:9" ht="22.5" customHeight="1" x14ac:dyDescent="0.25">
      <c r="A5" s="45">
        <v>4</v>
      </c>
      <c r="B5" s="46" t="s">
        <v>25</v>
      </c>
      <c r="C5" s="61" t="s">
        <v>23</v>
      </c>
      <c r="D5" s="106">
        <v>4200</v>
      </c>
      <c r="E5" s="107"/>
    </row>
    <row r="6" spans="1:9" ht="22.5" customHeight="1" x14ac:dyDescent="0.25">
      <c r="A6" s="70">
        <v>5</v>
      </c>
      <c r="B6" s="71" t="s">
        <v>11</v>
      </c>
      <c r="C6" s="69" t="s">
        <v>23</v>
      </c>
      <c r="D6" s="100">
        <v>21551</v>
      </c>
      <c r="E6" s="101"/>
    </row>
    <row r="7" spans="1:9" ht="22.5" customHeight="1" x14ac:dyDescent="0.25">
      <c r="A7" s="45">
        <v>6</v>
      </c>
      <c r="B7" s="46" t="s">
        <v>10</v>
      </c>
      <c r="C7" s="61" t="s">
        <v>23</v>
      </c>
      <c r="D7" s="113">
        <v>29715</v>
      </c>
      <c r="E7" s="114"/>
      <c r="H7" s="38" t="s">
        <v>26</v>
      </c>
      <c r="I7" s="34">
        <v>8.8079999999999998</v>
      </c>
    </row>
    <row r="8" spans="1:9" ht="22.5" customHeight="1" x14ac:dyDescent="0.25">
      <c r="A8" s="70">
        <v>7</v>
      </c>
      <c r="B8" s="71" t="s">
        <v>21</v>
      </c>
      <c r="C8" s="69" t="s">
        <v>23</v>
      </c>
      <c r="D8" s="100">
        <v>42735</v>
      </c>
      <c r="E8" s="101"/>
      <c r="H8" s="38"/>
      <c r="I8" s="34"/>
    </row>
    <row r="9" spans="1:9" ht="22.5" customHeight="1" thickBot="1" x14ac:dyDescent="0.3">
      <c r="A9" s="48">
        <v>8</v>
      </c>
      <c r="B9" s="49" t="s">
        <v>38</v>
      </c>
      <c r="C9" s="61" t="s">
        <v>23</v>
      </c>
      <c r="D9" s="115" t="str">
        <f>+C38</f>
        <v>35 years, 7 months, 22 days</v>
      </c>
      <c r="E9" s="116"/>
      <c r="H9" s="38" t="s">
        <v>30</v>
      </c>
      <c r="I9" s="34">
        <v>8.7080000000000002</v>
      </c>
    </row>
    <row r="10" spans="1:9" ht="15.75" thickBot="1" x14ac:dyDescent="0.3">
      <c r="A10" s="117" t="s">
        <v>0</v>
      </c>
      <c r="B10" s="118"/>
      <c r="C10" s="119"/>
      <c r="D10" s="118"/>
      <c r="E10" s="120"/>
      <c r="F10" s="36"/>
      <c r="H10" s="38" t="s">
        <v>31</v>
      </c>
      <c r="I10" s="34">
        <v>8.7240000000000002</v>
      </c>
    </row>
    <row r="11" spans="1:9" x14ac:dyDescent="0.25">
      <c r="A11" s="67">
        <v>9</v>
      </c>
      <c r="B11" s="72" t="s">
        <v>1</v>
      </c>
      <c r="C11" s="139">
        <v>8.3710000000000004</v>
      </c>
      <c r="D11" s="139"/>
      <c r="E11" s="140"/>
      <c r="H11" s="38" t="s">
        <v>29</v>
      </c>
      <c r="I11" s="34">
        <v>8.6780000000000008</v>
      </c>
    </row>
    <row r="12" spans="1:9" x14ac:dyDescent="0.25">
      <c r="A12" s="45">
        <v>10</v>
      </c>
      <c r="B12" s="50" t="s">
        <v>2</v>
      </c>
      <c r="C12" s="123">
        <f>+C53</f>
        <v>3134</v>
      </c>
      <c r="D12" s="123"/>
      <c r="E12" s="124"/>
      <c r="H12" s="38" t="s">
        <v>32</v>
      </c>
      <c r="I12" s="34">
        <v>8.6270000000000007</v>
      </c>
    </row>
    <row r="13" spans="1:9" ht="15.75" thickBot="1" x14ac:dyDescent="0.3">
      <c r="A13" s="73">
        <v>11</v>
      </c>
      <c r="B13" s="74" t="s">
        <v>0</v>
      </c>
      <c r="C13" s="129">
        <f>+C54</f>
        <v>314817</v>
      </c>
      <c r="D13" s="129"/>
      <c r="E13" s="130"/>
      <c r="H13" s="38" t="s">
        <v>33</v>
      </c>
      <c r="I13" s="34">
        <v>8.5719999999999992</v>
      </c>
    </row>
    <row r="14" spans="1:9" ht="15.75" thickBot="1" x14ac:dyDescent="0.3">
      <c r="A14" s="117" t="s">
        <v>3</v>
      </c>
      <c r="B14" s="118"/>
      <c r="C14" s="118"/>
      <c r="D14" s="118"/>
      <c r="E14" s="120"/>
      <c r="H14" s="38" t="s">
        <v>34</v>
      </c>
      <c r="I14" s="34">
        <v>8.5120000000000005</v>
      </c>
    </row>
    <row r="15" spans="1:9" x14ac:dyDescent="0.25">
      <c r="A15" s="67">
        <v>12</v>
      </c>
      <c r="B15" s="72" t="s">
        <v>4</v>
      </c>
      <c r="C15" s="127">
        <f>+C47</f>
        <v>7835</v>
      </c>
      <c r="D15" s="127"/>
      <c r="E15" s="128"/>
      <c r="H15" s="38" t="s">
        <v>35</v>
      </c>
      <c r="I15" s="34">
        <v>8.4459999999999997</v>
      </c>
    </row>
    <row r="16" spans="1:9" x14ac:dyDescent="0.25">
      <c r="A16" s="45">
        <v>13</v>
      </c>
      <c r="B16" s="50" t="s">
        <v>2</v>
      </c>
      <c r="C16" s="123">
        <f>+C53</f>
        <v>3134</v>
      </c>
      <c r="D16" s="123"/>
      <c r="E16" s="124"/>
      <c r="H16" s="40" t="s">
        <v>28</v>
      </c>
      <c r="I16" s="41">
        <v>8.3710000000000004</v>
      </c>
    </row>
    <row r="17" spans="1:9" ht="15.75" thickBot="1" x14ac:dyDescent="0.3">
      <c r="A17" s="73">
        <v>14</v>
      </c>
      <c r="B17" s="74" t="s">
        <v>39</v>
      </c>
      <c r="C17" s="129">
        <f>+C51</f>
        <v>4701</v>
      </c>
      <c r="D17" s="129"/>
      <c r="E17" s="130"/>
      <c r="F17" s="35"/>
      <c r="H17" s="38" t="s">
        <v>36</v>
      </c>
      <c r="I17" s="34">
        <v>8.2870000000000008</v>
      </c>
    </row>
    <row r="18" spans="1:9" x14ac:dyDescent="0.25">
      <c r="A18" s="110" t="s">
        <v>5</v>
      </c>
      <c r="B18" s="111"/>
      <c r="C18" s="111"/>
      <c r="D18" s="111"/>
      <c r="E18" s="112"/>
      <c r="F18" s="35"/>
      <c r="H18" s="40" t="s">
        <v>27</v>
      </c>
      <c r="I18" s="41">
        <v>8.1940000000000008</v>
      </c>
    </row>
    <row r="19" spans="1:9" x14ac:dyDescent="0.25">
      <c r="A19" s="70">
        <v>15</v>
      </c>
      <c r="B19" s="75" t="s">
        <v>6</v>
      </c>
      <c r="C19" s="131">
        <f>+C49</f>
        <v>258555</v>
      </c>
      <c r="D19" s="131"/>
      <c r="E19" s="132"/>
    </row>
    <row r="20" spans="1:9" ht="30" x14ac:dyDescent="0.25">
      <c r="A20" s="45">
        <v>16</v>
      </c>
      <c r="B20" s="50" t="s">
        <v>46</v>
      </c>
      <c r="C20" s="133">
        <v>0</v>
      </c>
      <c r="D20" s="133"/>
      <c r="E20" s="134"/>
    </row>
    <row r="21" spans="1:9" ht="15.75" thickBot="1" x14ac:dyDescent="0.3">
      <c r="A21" s="48">
        <v>17</v>
      </c>
      <c r="B21" s="51" t="s">
        <v>40</v>
      </c>
      <c r="C21" s="135">
        <f>IF(C19&gt;700000,700000,C19)</f>
        <v>258555</v>
      </c>
      <c r="D21" s="135"/>
      <c r="E21" s="136"/>
    </row>
    <row r="22" spans="1:9" ht="15.75" thickBot="1" x14ac:dyDescent="0.3">
      <c r="A22" s="117" t="s">
        <v>7</v>
      </c>
      <c r="B22" s="118"/>
      <c r="C22" s="118"/>
      <c r="D22" s="118"/>
      <c r="E22" s="120"/>
    </row>
    <row r="23" spans="1:9" ht="45" hidden="1" x14ac:dyDescent="0.25">
      <c r="A23" s="67">
        <v>18</v>
      </c>
      <c r="B23" s="72" t="s">
        <v>49</v>
      </c>
      <c r="C23" s="137">
        <f>+D6+23740</f>
        <v>45291</v>
      </c>
      <c r="D23" s="137"/>
      <c r="E23" s="76">
        <f>+C47</f>
        <v>7835</v>
      </c>
    </row>
    <row r="24" spans="1:9" ht="45.75" hidden="1" thickBot="1" x14ac:dyDescent="0.3">
      <c r="A24" s="48">
        <v>19</v>
      </c>
      <c r="B24" s="52" t="s">
        <v>50</v>
      </c>
      <c r="C24" s="138">
        <f>+C23+1</f>
        <v>45292</v>
      </c>
      <c r="D24" s="138"/>
      <c r="E24" s="53">
        <f>+C51</f>
        <v>4701</v>
      </c>
    </row>
    <row r="25" spans="1:9" ht="13.5" customHeight="1" thickBot="1" x14ac:dyDescent="0.3">
      <c r="A25" s="73"/>
      <c r="B25" s="77" t="s">
        <v>37</v>
      </c>
      <c r="C25" s="78"/>
      <c r="D25" s="79">
        <v>1.32</v>
      </c>
      <c r="E25" s="80">
        <f>+C15*D25</f>
        <v>10342.200000000001</v>
      </c>
    </row>
    <row r="26" spans="1:9" ht="15.75" thickBot="1" x14ac:dyDescent="0.3">
      <c r="A26" s="117" t="s">
        <v>45</v>
      </c>
      <c r="B26" s="118"/>
      <c r="C26" s="118"/>
      <c r="D26" s="118"/>
      <c r="E26" s="120"/>
    </row>
    <row r="27" spans="1:9" x14ac:dyDescent="0.25">
      <c r="A27" s="55" t="s">
        <v>51</v>
      </c>
      <c r="B27" s="56" t="s">
        <v>47</v>
      </c>
      <c r="C27" s="57"/>
      <c r="D27" s="58">
        <f>+C15+E25-C16</f>
        <v>15043.2</v>
      </c>
      <c r="E27" s="59" t="s">
        <v>60</v>
      </c>
    </row>
    <row r="28" spans="1:9" hidden="1" x14ac:dyDescent="0.25">
      <c r="A28" s="81" t="s">
        <v>52</v>
      </c>
      <c r="B28" s="82" t="s">
        <v>41</v>
      </c>
      <c r="C28" s="83" t="s">
        <v>23</v>
      </c>
      <c r="D28" s="84">
        <f>+((D4+D5)*D25+(D4+D5))*E28/30</f>
        <v>363544</v>
      </c>
      <c r="E28" s="85">
        <v>300</v>
      </c>
    </row>
    <row r="29" spans="1:9" hidden="1" x14ac:dyDescent="0.25">
      <c r="A29" s="60" t="s">
        <v>53</v>
      </c>
      <c r="B29" s="61" t="s">
        <v>42</v>
      </c>
      <c r="C29" s="47" t="s">
        <v>23</v>
      </c>
      <c r="D29" s="62"/>
      <c r="E29" s="63" t="s">
        <v>61</v>
      </c>
    </row>
    <row r="30" spans="1:9" hidden="1" x14ac:dyDescent="0.25">
      <c r="A30" s="86" t="s">
        <v>54</v>
      </c>
      <c r="B30" s="87" t="s">
        <v>43</v>
      </c>
      <c r="C30" s="83" t="s">
        <v>23</v>
      </c>
      <c r="D30" s="88"/>
      <c r="E30" s="89" t="s">
        <v>61</v>
      </c>
    </row>
    <row r="31" spans="1:9" ht="30" hidden="1" x14ac:dyDescent="0.25">
      <c r="A31" s="60" t="s">
        <v>55</v>
      </c>
      <c r="B31" s="50" t="s">
        <v>59</v>
      </c>
      <c r="C31" s="47" t="s">
        <v>23</v>
      </c>
      <c r="D31" s="62"/>
      <c r="E31" s="63" t="s">
        <v>61</v>
      </c>
    </row>
    <row r="32" spans="1:9" hidden="1" x14ac:dyDescent="0.25">
      <c r="A32" s="86" t="s">
        <v>56</v>
      </c>
      <c r="B32" s="90" t="s">
        <v>0</v>
      </c>
      <c r="C32" s="83" t="s">
        <v>23</v>
      </c>
      <c r="D32" s="88">
        <f>+C13</f>
        <v>314817</v>
      </c>
      <c r="E32" s="89" t="s">
        <v>60</v>
      </c>
    </row>
    <row r="33" spans="1:12" ht="15.75" hidden="1" thickBot="1" x14ac:dyDescent="0.3">
      <c r="A33" s="64" t="s">
        <v>57</v>
      </c>
      <c r="B33" s="54" t="s">
        <v>5</v>
      </c>
      <c r="C33" s="47" t="s">
        <v>23</v>
      </c>
      <c r="D33" s="65">
        <f>+C21</f>
        <v>258555</v>
      </c>
      <c r="E33" s="66" t="s">
        <v>61</v>
      </c>
    </row>
    <row r="34" spans="1:12" ht="15.75" hidden="1" thickBot="1" x14ac:dyDescent="0.3">
      <c r="A34" s="91" t="s">
        <v>58</v>
      </c>
      <c r="B34" s="92" t="s">
        <v>44</v>
      </c>
      <c r="C34" s="92"/>
      <c r="D34" s="93">
        <f>+D28+D29+D30+D31+D32+D33</f>
        <v>936916</v>
      </c>
      <c r="E34" s="94"/>
    </row>
    <row r="35" spans="1:12" ht="15.75" hidden="1" thickTop="1" x14ac:dyDescent="0.25"/>
    <row r="36" spans="1:12" s="37" customFormat="1" hidden="1" x14ac:dyDescent="0.25">
      <c r="F36" s="36"/>
      <c r="G36" s="36"/>
      <c r="H36" s="36"/>
    </row>
    <row r="37" spans="1:12" hidden="1" x14ac:dyDescent="0.25"/>
    <row r="38" spans="1:12" ht="18" hidden="1" x14ac:dyDescent="0.25">
      <c r="B38" s="6"/>
      <c r="C38" s="8" t="str">
        <f>YEAR($D$8)-YEAR($D$7)-IF(OR(MONTH($D$8)&lt;MONTH($D$7),AND(MONTH($D$8)=MONTH($D$7), DAY($D$8)&lt;DAY($D$7))),1,0)&amp;" years, "&amp;MONTH($D$8)-MONTH($D$7)+IF(AND(MONTH($D$8) &lt;=MONTH($D$7),DAY($D$8)&lt;DAY($D$7)),11,IF(AND(MONTH($D$8)&lt;MONTH($D$7),DAY($D$8) &gt;=DAY($D$7)),12,IF(AND(MONTH($D$8)&gt;MONTH($D$7),DAY($D$8)&lt;DAY($D$7)),-1)))&amp;" months, "&amp;$D$8-DATE(YEAR($D$8),MONTH($D$8)-IF(DAY($D$8)&lt;DAY($D$7),1,0),DAY($D$7))&amp;" days"</f>
        <v>35 years, 7 months, 22 days</v>
      </c>
      <c r="D38" s="7"/>
      <c r="E38" s="9"/>
    </row>
    <row r="39" spans="1:12" ht="18" hidden="1" x14ac:dyDescent="0.25">
      <c r="B39" s="10"/>
      <c r="C39" s="1" t="str">
        <f>YEAR($D$8)-YEAR($D$7)-IF(OR(MONTH($D$8)&lt;MONTH($D$7),AND(MONTH($D$8)=MONTH($D$7),DAY($D$8)&lt;DAY($D$7))),1,0)&amp;" years"</f>
        <v>35 years</v>
      </c>
      <c r="D39" s="1" t="str">
        <f>MONTH($D$8)-MONTH($D$7)+IF(AND(MONTH($D$8)&lt;=MONTH($D$7),DAY($D$8)&lt;DAY($D$7)),11,IF(AND(MONTH($D$8)&lt;MONTH($D$7),DAY($D$8)&gt;=DAY($D$7)),12,IF(AND(MONTH($D$8)&gt;MONTH($D$7),DAY($D$8)&lt;DAY($D$7)),-1)))&amp;" months"</f>
        <v>7 months</v>
      </c>
      <c r="E39" s="11" t="str">
        <f>$D$8-DATE(YEAR($D$8),MONTH($D$8)-IF(DAY($D$8)&lt;DAY($D$7),1,0),DAY($D$7))&amp;" days"</f>
        <v>22 days</v>
      </c>
    </row>
    <row r="40" spans="1:12" ht="18" hidden="1" x14ac:dyDescent="0.25">
      <c r="B40" s="10"/>
      <c r="C40" s="1">
        <f>YEAR($D$8)-YEAR($D$7)-IF(OR(MONTH($D$8)&lt;MONTH($D$7),AND(MONTH($D$8)=MONTH($D$7),DAY($D$8)&lt;DAY($D$7))),1,0)</f>
        <v>35</v>
      </c>
      <c r="D40" s="1">
        <f>MONTH($D$8)-MONTH($D$7)+IF(AND(MONTH($D$8)&lt;=MONTH($D$7),DAY($D$8)&lt;DAY($D$7)),11,IF(AND(MONTH($D$8)&lt;MONTH($D$7),DAY($D$8)&gt;=DAY($D$7)),12,IF(AND(MONTH($D$8)&gt;MONTH($D$7),DAY($D$8)&lt;DAY($D$7)),-1)))</f>
        <v>7</v>
      </c>
      <c r="E40" s="11">
        <f>$D$8-DATE(YEAR($D$8),MONTH($D$8)-IF(DAY($D$8)&lt;DAY($D$7),1,0),DAY($D$7))</f>
        <v>22</v>
      </c>
    </row>
    <row r="41" spans="1:12" ht="21" hidden="1" x14ac:dyDescent="0.35">
      <c r="B41" s="10"/>
      <c r="C41" s="12">
        <f>+C40</f>
        <v>35</v>
      </c>
      <c r="D41" s="12">
        <f>+D40</f>
        <v>7</v>
      </c>
      <c r="E41" s="13">
        <f>+E40</f>
        <v>22</v>
      </c>
      <c r="G41" s="42">
        <v>0</v>
      </c>
      <c r="H41" s="42">
        <v>0</v>
      </c>
    </row>
    <row r="42" spans="1:12" ht="21" hidden="1" x14ac:dyDescent="0.35">
      <c r="B42" s="10"/>
      <c r="C42" s="14">
        <f>C41*2</f>
        <v>70</v>
      </c>
      <c r="D42" s="15">
        <f>D41</f>
        <v>7</v>
      </c>
      <c r="E42" s="16">
        <v>0</v>
      </c>
      <c r="G42" s="42">
        <v>3</v>
      </c>
      <c r="H42" s="42">
        <v>1</v>
      </c>
    </row>
    <row r="43" spans="1:12" ht="21" hidden="1" x14ac:dyDescent="0.35">
      <c r="B43" s="10"/>
      <c r="C43" s="15">
        <f>IF(C42&lt;67,C42,66)</f>
        <v>66</v>
      </c>
      <c r="D43" s="43">
        <f>VLOOKUP(D42,G41:H46,2)</f>
        <v>2</v>
      </c>
      <c r="E43" s="16">
        <f>D43+C43</f>
        <v>68</v>
      </c>
      <c r="G43" s="42">
        <v>6</v>
      </c>
      <c r="H43" s="42">
        <v>2</v>
      </c>
    </row>
    <row r="44" spans="1:12" ht="21" hidden="1" x14ac:dyDescent="0.25">
      <c r="B44" s="10"/>
      <c r="C44" s="17"/>
      <c r="D44" s="18"/>
      <c r="E44" s="19">
        <f>IF(E43&lt;67,E43,66)</f>
        <v>66</v>
      </c>
      <c r="K44" s="4"/>
      <c r="L44" s="4"/>
    </row>
    <row r="45" spans="1:12" ht="18.75" hidden="1" x14ac:dyDescent="0.25">
      <c r="B45" s="10"/>
      <c r="C45" s="5"/>
      <c r="D45" s="5"/>
      <c r="E45" s="20"/>
      <c r="H45" s="23"/>
      <c r="I45" s="3"/>
      <c r="K45" s="3"/>
      <c r="L45" s="3"/>
    </row>
    <row r="46" spans="1:12" ht="18.75" hidden="1" x14ac:dyDescent="0.25">
      <c r="B46" s="10"/>
      <c r="C46" s="5">
        <f>+D4+D5</f>
        <v>15670</v>
      </c>
      <c r="D46" s="32"/>
      <c r="E46" s="33"/>
      <c r="H46" s="23"/>
      <c r="I46" s="3"/>
      <c r="K46" s="4"/>
      <c r="L46" s="4"/>
    </row>
    <row r="47" spans="1:12" ht="18.75" hidden="1" x14ac:dyDescent="0.25">
      <c r="B47" s="21" t="s">
        <v>12</v>
      </c>
      <c r="C47" s="22">
        <f>ROUND(C46/2,0)</f>
        <v>7835</v>
      </c>
      <c r="D47" s="23"/>
      <c r="E47" s="33"/>
      <c r="H47" s="23"/>
      <c r="I47" s="3"/>
      <c r="K47" s="3"/>
      <c r="L47" s="3"/>
    </row>
    <row r="48" spans="1:12" ht="18.75" hidden="1" x14ac:dyDescent="0.25">
      <c r="B48" s="21"/>
      <c r="C48" s="24"/>
      <c r="D48" s="23"/>
      <c r="E48" s="20"/>
      <c r="K48" s="4"/>
      <c r="L48" s="4"/>
    </row>
    <row r="49" spans="2:12" ht="18.75" hidden="1" x14ac:dyDescent="0.25">
      <c r="B49" s="21" t="s">
        <v>15</v>
      </c>
      <c r="C49" s="22">
        <f>ROUND(C46/4*E44,0)</f>
        <v>258555</v>
      </c>
      <c r="D49" s="23" t="s">
        <v>16</v>
      </c>
      <c r="E49" s="20"/>
      <c r="F49" s="23"/>
      <c r="G49" s="23"/>
      <c r="J49" s="3"/>
      <c r="K49" s="3"/>
      <c r="L49" s="3"/>
    </row>
    <row r="50" spans="2:12" ht="18.75" hidden="1" x14ac:dyDescent="0.25">
      <c r="B50" s="21"/>
      <c r="C50" s="24"/>
      <c r="D50" s="23"/>
      <c r="E50" s="20"/>
      <c r="F50" s="23"/>
      <c r="G50" s="23"/>
      <c r="J50" s="3"/>
      <c r="K50" s="3"/>
      <c r="L50" s="3"/>
    </row>
    <row r="51" spans="2:12" ht="18.75" hidden="1" x14ac:dyDescent="0.25">
      <c r="B51" s="21" t="s">
        <v>18</v>
      </c>
      <c r="C51" s="22">
        <f>ROUND(C46*30%,0)</f>
        <v>4701</v>
      </c>
      <c r="D51" s="23"/>
      <c r="E51" s="20"/>
      <c r="F51" s="23"/>
      <c r="J51" s="3"/>
      <c r="K51" s="3"/>
      <c r="L51" s="3"/>
    </row>
    <row r="52" spans="2:12" ht="18.75" hidden="1" x14ac:dyDescent="0.25">
      <c r="B52" s="21"/>
      <c r="C52" s="24"/>
      <c r="D52" s="23"/>
      <c r="E52" s="20"/>
    </row>
    <row r="53" spans="2:12" ht="18.75" hidden="1" x14ac:dyDescent="0.25">
      <c r="B53" s="21" t="s">
        <v>20</v>
      </c>
      <c r="C53" s="22">
        <f>ROUND(C47*40%,0)</f>
        <v>3134</v>
      </c>
      <c r="D53" s="23"/>
      <c r="E53" s="25">
        <f>+C11</f>
        <v>8.3710000000000004</v>
      </c>
    </row>
    <row r="54" spans="2:12" ht="18.75" hidden="1" x14ac:dyDescent="0.25">
      <c r="B54" s="10"/>
      <c r="C54" s="22">
        <f>ROUND(C53*E53*12,0)</f>
        <v>314817</v>
      </c>
      <c r="D54" s="23"/>
      <c r="E54" s="26">
        <f>C47-C53</f>
        <v>4701</v>
      </c>
    </row>
    <row r="55" spans="2:12" ht="18.75" hidden="1" x14ac:dyDescent="0.25">
      <c r="B55" s="10"/>
      <c r="C55" s="5"/>
      <c r="D55" s="5"/>
      <c r="E55" s="25"/>
    </row>
    <row r="56" spans="2:12" ht="18.75" hidden="1" x14ac:dyDescent="0.25">
      <c r="B56" s="27" t="s">
        <v>13</v>
      </c>
      <c r="C56" s="23" t="s">
        <v>14</v>
      </c>
      <c r="D56" s="23" t="str">
        <f>CONCATENATE(B56,C56,C46)</f>
        <v xml:space="preserve"> 1/2  x 15670</v>
      </c>
      <c r="E56" s="28"/>
    </row>
    <row r="57" spans="2:12" ht="18.75" hidden="1" x14ac:dyDescent="0.25">
      <c r="B57" s="21"/>
      <c r="C57" s="23"/>
      <c r="D57" s="23"/>
      <c r="E57" s="25"/>
    </row>
    <row r="58" spans="2:12" ht="18.75" hidden="1" x14ac:dyDescent="0.25">
      <c r="B58" s="27" t="s">
        <v>17</v>
      </c>
      <c r="C58" s="23"/>
      <c r="D58" s="23" t="str">
        <f>CONCATENATE(B58,C56,E44,C56,C46)</f>
        <v xml:space="preserve"> 1/4  x 66 x 15670</v>
      </c>
      <c r="E58" s="28"/>
    </row>
    <row r="59" spans="2:12" ht="18.75" hidden="1" x14ac:dyDescent="0.25">
      <c r="B59" s="21"/>
      <c r="C59" s="23"/>
      <c r="D59" s="23"/>
      <c r="E59" s="25"/>
    </row>
    <row r="60" spans="2:12" ht="18.75" hidden="1" x14ac:dyDescent="0.25">
      <c r="B60" s="27" t="s">
        <v>19</v>
      </c>
      <c r="C60" s="23"/>
      <c r="D60" s="23" t="str">
        <f>CONCATENATE(C46,C56,B60)</f>
        <v xml:space="preserve">15670 x 30% </v>
      </c>
      <c r="E60" s="28"/>
    </row>
    <row r="61" spans="2:12" hidden="1" x14ac:dyDescent="0.25">
      <c r="B61" s="29"/>
      <c r="C61" s="30"/>
      <c r="D61" s="30"/>
      <c r="E61" s="31"/>
    </row>
    <row r="62" spans="2:12" hidden="1" x14ac:dyDescent="0.25">
      <c r="B62" s="2" t="s">
        <v>22</v>
      </c>
    </row>
    <row r="63" spans="2:12" hidden="1" x14ac:dyDescent="0.25"/>
    <row r="64" spans="2:12" hidden="1" x14ac:dyDescent="0.25"/>
    <row r="65" spans="1:2" hidden="1" x14ac:dyDescent="0.25"/>
    <row r="66" spans="1:2" hidden="1" x14ac:dyDescent="0.25">
      <c r="A66" s="2" t="s">
        <v>62</v>
      </c>
    </row>
    <row r="67" spans="1:2" hidden="1" x14ac:dyDescent="0.25">
      <c r="B67" s="2" t="s">
        <v>63</v>
      </c>
    </row>
    <row r="68" spans="1:2" hidden="1" x14ac:dyDescent="0.25">
      <c r="B68" s="2" t="s">
        <v>64</v>
      </c>
    </row>
    <row r="69" spans="1:2" hidden="1" x14ac:dyDescent="0.25">
      <c r="B69" s="2" t="s">
        <v>65</v>
      </c>
    </row>
    <row r="70" spans="1:2" hidden="1" x14ac:dyDescent="0.25"/>
    <row r="71" spans="1:2" hidden="1" x14ac:dyDescent="0.25"/>
    <row r="72" spans="1:2" hidden="1" x14ac:dyDescent="0.25"/>
    <row r="73" spans="1:2" hidden="1" x14ac:dyDescent="0.25"/>
    <row r="74" spans="1:2" hidden="1" x14ac:dyDescent="0.25"/>
    <row r="75" spans="1:2" hidden="1" x14ac:dyDescent="0.25"/>
    <row r="76" spans="1:2" hidden="1" x14ac:dyDescent="0.25"/>
    <row r="77" spans="1:2" hidden="1" x14ac:dyDescent="0.25"/>
    <row r="78" spans="1:2" hidden="1" x14ac:dyDescent="0.25"/>
    <row r="79" spans="1:2" hidden="1" x14ac:dyDescent="0.25"/>
    <row r="80" spans="1:2" hidden="1" x14ac:dyDescent="0.25"/>
  </sheetData>
  <dataConsolidate/>
  <mergeCells count="25">
    <mergeCell ref="A26:E26"/>
    <mergeCell ref="C19:E19"/>
    <mergeCell ref="C20:E20"/>
    <mergeCell ref="C21:E21"/>
    <mergeCell ref="A22:E22"/>
    <mergeCell ref="C23:D23"/>
    <mergeCell ref="C24:D24"/>
    <mergeCell ref="A18:E18"/>
    <mergeCell ref="D7:E7"/>
    <mergeCell ref="D8:E8"/>
    <mergeCell ref="D9:E9"/>
    <mergeCell ref="A10:E10"/>
    <mergeCell ref="C11:E11"/>
    <mergeCell ref="C12:E12"/>
    <mergeCell ref="C13:E13"/>
    <mergeCell ref="A14:E14"/>
    <mergeCell ref="C15:E15"/>
    <mergeCell ref="C16:E16"/>
    <mergeCell ref="C17:E17"/>
    <mergeCell ref="D6:E6"/>
    <mergeCell ref="B1:E1"/>
    <mergeCell ref="D2:E2"/>
    <mergeCell ref="D3:E3"/>
    <mergeCell ref="D4:E4"/>
    <mergeCell ref="D5:E5"/>
  </mergeCells>
  <dataValidations count="1">
    <dataValidation type="list" allowBlank="1" showInputMessage="1" showErrorMessage="1" sqref="C11">
      <formula1>$I$7:$I$18</formula1>
    </dataValidation>
  </dataValidations>
  <hyperlinks>
    <hyperlink ref="B30" r:id="rId1"/>
  </hyperlinks>
  <pageMargins left="0.7" right="0.7" top="0.75" bottom="0.75" header="0.3" footer="0.3"/>
  <pageSetup paperSize="9" orientation="portrait" r:id="rId2"/>
  <rowBreaks count="1" manualBreakCount="1">
    <brk id="35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3"/>
  <sheetViews>
    <sheetView view="pageBreakPreview" zoomScale="220" zoomScaleNormal="100" zoomScaleSheetLayoutView="220" workbookViewId="0">
      <selection activeCell="B1" sqref="B1:E1"/>
    </sheetView>
  </sheetViews>
  <sheetFormatPr defaultRowHeight="15" x14ac:dyDescent="0.25"/>
  <cols>
    <col min="1" max="1" width="3.140625" style="2" customWidth="1"/>
    <col min="2" max="2" width="36.7109375" style="2" customWidth="1"/>
    <col min="3" max="3" width="2.5703125" style="2" customWidth="1"/>
    <col min="4" max="4" width="14.42578125" style="2" customWidth="1"/>
    <col min="5" max="5" width="12" style="2" customWidth="1"/>
    <col min="6" max="6" width="37.28515625" style="5" customWidth="1"/>
    <col min="7" max="7" width="13.5703125" style="5" customWidth="1"/>
    <col min="8" max="8" width="22.42578125" style="5" customWidth="1"/>
    <col min="9" max="9" width="9.140625" style="2" customWidth="1"/>
    <col min="10" max="10" width="23.7109375" style="2" customWidth="1"/>
    <col min="11" max="11" width="9.140625" style="2"/>
    <col min="12" max="12" width="41.28515625" style="2" customWidth="1"/>
    <col min="13" max="16384" width="9.140625" style="2"/>
  </cols>
  <sheetData>
    <row r="1" spans="1:9" ht="16.5" thickTop="1" thickBot="1" x14ac:dyDescent="0.3">
      <c r="A1" s="44"/>
      <c r="B1" s="102" t="s">
        <v>69</v>
      </c>
      <c r="C1" s="102"/>
      <c r="D1" s="102"/>
      <c r="E1" s="103"/>
      <c r="F1" s="39" t="s">
        <v>48</v>
      </c>
    </row>
    <row r="2" spans="1:9" ht="19.5" customHeight="1" x14ac:dyDescent="0.25">
      <c r="A2" s="67">
        <v>1</v>
      </c>
      <c r="B2" s="68" t="s">
        <v>8</v>
      </c>
      <c r="C2" s="69" t="s">
        <v>23</v>
      </c>
      <c r="D2" s="104" t="str">
        <f>+'Calculation of Pension 6 pay'!D2:E2</f>
        <v>Pramod Puri</v>
      </c>
      <c r="E2" s="105"/>
    </row>
    <row r="3" spans="1:9" ht="19.5" customHeight="1" x14ac:dyDescent="0.25">
      <c r="A3" s="45">
        <v>2</v>
      </c>
      <c r="B3" s="46" t="s">
        <v>9</v>
      </c>
      <c r="C3" s="61" t="s">
        <v>23</v>
      </c>
      <c r="D3" s="106" t="str">
        <f>+'Calculation of Pension 6 pay'!D3:E3</f>
        <v>Senior Clerk</v>
      </c>
      <c r="E3" s="107"/>
    </row>
    <row r="4" spans="1:9" ht="19.5" customHeight="1" x14ac:dyDescent="0.25">
      <c r="A4" s="70">
        <v>3</v>
      </c>
      <c r="B4" s="71" t="s">
        <v>24</v>
      </c>
      <c r="C4" s="69" t="s">
        <v>23</v>
      </c>
      <c r="D4" s="108">
        <v>51100</v>
      </c>
      <c r="E4" s="109"/>
    </row>
    <row r="5" spans="1:9" ht="19.5" customHeight="1" x14ac:dyDescent="0.25">
      <c r="A5" s="45">
        <v>4</v>
      </c>
      <c r="B5" s="46" t="s">
        <v>25</v>
      </c>
      <c r="C5" s="61" t="s">
        <v>23</v>
      </c>
      <c r="D5" s="106">
        <v>0</v>
      </c>
      <c r="E5" s="107"/>
    </row>
    <row r="6" spans="1:9" ht="19.5" customHeight="1" x14ac:dyDescent="0.25">
      <c r="A6" s="70">
        <v>5</v>
      </c>
      <c r="B6" s="71" t="s">
        <v>11</v>
      </c>
      <c r="C6" s="69" t="s">
        <v>23</v>
      </c>
      <c r="D6" s="100">
        <f>+'Calculation of Pension 6 pay'!D6</f>
        <v>21551</v>
      </c>
      <c r="E6" s="101"/>
    </row>
    <row r="7" spans="1:9" ht="19.5" customHeight="1" x14ac:dyDescent="0.25">
      <c r="A7" s="45">
        <v>6</v>
      </c>
      <c r="B7" s="46" t="s">
        <v>10</v>
      </c>
      <c r="C7" s="61" t="s">
        <v>23</v>
      </c>
      <c r="D7" s="113">
        <f>+'Calculation of Pension 6 pay'!D7</f>
        <v>29715</v>
      </c>
      <c r="E7" s="114"/>
      <c r="H7" s="38" t="s">
        <v>26</v>
      </c>
      <c r="I7" s="34">
        <v>8.8079999999999998</v>
      </c>
    </row>
    <row r="8" spans="1:9" ht="19.5" customHeight="1" x14ac:dyDescent="0.25">
      <c r="A8" s="70">
        <v>7</v>
      </c>
      <c r="B8" s="71" t="s">
        <v>21</v>
      </c>
      <c r="C8" s="69" t="s">
        <v>23</v>
      </c>
      <c r="D8" s="100">
        <f>+'Calculation of Pension 6 pay'!D8</f>
        <v>42735</v>
      </c>
      <c r="E8" s="101"/>
      <c r="H8" s="38"/>
      <c r="I8" s="34"/>
    </row>
    <row r="9" spans="1:9" ht="19.5" customHeight="1" thickBot="1" x14ac:dyDescent="0.3">
      <c r="A9" s="48">
        <v>8</v>
      </c>
      <c r="B9" s="49" t="s">
        <v>38</v>
      </c>
      <c r="C9" s="61" t="s">
        <v>23</v>
      </c>
      <c r="D9" s="115" t="str">
        <f>+C38</f>
        <v>35 years, 7 months, 22 days</v>
      </c>
      <c r="E9" s="116"/>
      <c r="H9" s="38" t="s">
        <v>30</v>
      </c>
      <c r="I9" s="34">
        <v>8.7080000000000002</v>
      </c>
    </row>
    <row r="10" spans="1:9" ht="15.75" thickBot="1" x14ac:dyDescent="0.3">
      <c r="A10" s="117" t="s">
        <v>0</v>
      </c>
      <c r="B10" s="118"/>
      <c r="C10" s="119"/>
      <c r="D10" s="118"/>
      <c r="E10" s="120"/>
      <c r="F10" s="36"/>
      <c r="H10" s="38" t="s">
        <v>31</v>
      </c>
      <c r="I10" s="34">
        <v>8.7240000000000002</v>
      </c>
    </row>
    <row r="11" spans="1:9" x14ac:dyDescent="0.25">
      <c r="A11" s="67">
        <v>9</v>
      </c>
      <c r="B11" s="72" t="s">
        <v>1</v>
      </c>
      <c r="C11" s="121">
        <v>8.3710000000000004</v>
      </c>
      <c r="D11" s="121"/>
      <c r="E11" s="122"/>
      <c r="H11" s="38" t="s">
        <v>29</v>
      </c>
      <c r="I11" s="34">
        <v>8.6780000000000008</v>
      </c>
    </row>
    <row r="12" spans="1:9" x14ac:dyDescent="0.25">
      <c r="A12" s="45">
        <v>10</v>
      </c>
      <c r="B12" s="50" t="s">
        <v>2</v>
      </c>
      <c r="C12" s="123">
        <f>+C53</f>
        <v>10220</v>
      </c>
      <c r="D12" s="123"/>
      <c r="E12" s="124"/>
      <c r="H12" s="38" t="s">
        <v>32</v>
      </c>
      <c r="I12" s="34">
        <v>8.6270000000000007</v>
      </c>
    </row>
    <row r="13" spans="1:9" ht="15.75" thickBot="1" x14ac:dyDescent="0.3">
      <c r="A13" s="73">
        <v>11</v>
      </c>
      <c r="B13" s="74" t="s">
        <v>0</v>
      </c>
      <c r="C13" s="129">
        <f>+C54</f>
        <v>1026619</v>
      </c>
      <c r="D13" s="129"/>
      <c r="E13" s="130"/>
      <c r="H13" s="38" t="s">
        <v>33</v>
      </c>
      <c r="I13" s="34">
        <v>8.5719999999999992</v>
      </c>
    </row>
    <row r="14" spans="1:9" ht="15.75" thickBot="1" x14ac:dyDescent="0.3">
      <c r="A14" s="117" t="s">
        <v>3</v>
      </c>
      <c r="B14" s="118"/>
      <c r="C14" s="118"/>
      <c r="D14" s="118"/>
      <c r="E14" s="120"/>
      <c r="H14" s="38" t="s">
        <v>34</v>
      </c>
      <c r="I14" s="34">
        <v>8.5120000000000005</v>
      </c>
    </row>
    <row r="15" spans="1:9" x14ac:dyDescent="0.25">
      <c r="A15" s="67">
        <v>12</v>
      </c>
      <c r="B15" s="72" t="s">
        <v>4</v>
      </c>
      <c r="C15" s="127">
        <f>+C47</f>
        <v>25550</v>
      </c>
      <c r="D15" s="127"/>
      <c r="E15" s="128"/>
      <c r="H15" s="38" t="s">
        <v>35</v>
      </c>
      <c r="I15" s="34">
        <v>8.4459999999999997</v>
      </c>
    </row>
    <row r="16" spans="1:9" x14ac:dyDescent="0.25">
      <c r="A16" s="45">
        <v>13</v>
      </c>
      <c r="B16" s="50" t="s">
        <v>2</v>
      </c>
      <c r="C16" s="123">
        <f>+C53</f>
        <v>10220</v>
      </c>
      <c r="D16" s="123"/>
      <c r="E16" s="124"/>
      <c r="H16" s="40" t="s">
        <v>28</v>
      </c>
      <c r="I16" s="41">
        <v>8.3710000000000004</v>
      </c>
    </row>
    <row r="17" spans="1:9" ht="15.75" thickBot="1" x14ac:dyDescent="0.3">
      <c r="A17" s="73">
        <v>14</v>
      </c>
      <c r="B17" s="74" t="s">
        <v>39</v>
      </c>
      <c r="C17" s="129">
        <f>+C51</f>
        <v>15330</v>
      </c>
      <c r="D17" s="129"/>
      <c r="E17" s="130"/>
      <c r="F17" s="35"/>
      <c r="H17" s="38" t="s">
        <v>36</v>
      </c>
      <c r="I17" s="34">
        <v>8.2870000000000008</v>
      </c>
    </row>
    <row r="18" spans="1:9" x14ac:dyDescent="0.25">
      <c r="A18" s="110" t="s">
        <v>5</v>
      </c>
      <c r="B18" s="111"/>
      <c r="C18" s="111"/>
      <c r="D18" s="111"/>
      <c r="E18" s="112"/>
      <c r="F18" s="35"/>
      <c r="H18" s="40" t="s">
        <v>27</v>
      </c>
      <c r="I18" s="41">
        <v>8.1940000000000008</v>
      </c>
    </row>
    <row r="19" spans="1:9" x14ac:dyDescent="0.25">
      <c r="A19" s="70">
        <v>15</v>
      </c>
      <c r="B19" s="75" t="s">
        <v>6</v>
      </c>
      <c r="C19" s="131">
        <f>+C49</f>
        <v>843150</v>
      </c>
      <c r="D19" s="131"/>
      <c r="E19" s="132"/>
    </row>
    <row r="20" spans="1:9" ht="19.5" customHeight="1" x14ac:dyDescent="0.25">
      <c r="A20" s="45">
        <v>16</v>
      </c>
      <c r="B20" s="50" t="s">
        <v>66</v>
      </c>
      <c r="C20" s="133">
        <v>0</v>
      </c>
      <c r="D20" s="133"/>
      <c r="E20" s="134"/>
    </row>
    <row r="21" spans="1:9" ht="15.75" thickBot="1" x14ac:dyDescent="0.3">
      <c r="A21" s="48">
        <v>17</v>
      </c>
      <c r="B21" s="51" t="s">
        <v>40</v>
      </c>
      <c r="C21" s="135">
        <f>IF(C19&gt;1400000,1400000,C19)</f>
        <v>843150</v>
      </c>
      <c r="D21" s="135"/>
      <c r="E21" s="136"/>
    </row>
    <row r="22" spans="1:9" ht="15.75" thickBot="1" x14ac:dyDescent="0.3">
      <c r="A22" s="117" t="s">
        <v>7</v>
      </c>
      <c r="B22" s="118"/>
      <c r="C22" s="118"/>
      <c r="D22" s="118"/>
      <c r="E22" s="120"/>
    </row>
    <row r="23" spans="1:9" ht="45" hidden="1" x14ac:dyDescent="0.25">
      <c r="A23" s="67">
        <v>18</v>
      </c>
      <c r="B23" s="72" t="s">
        <v>49</v>
      </c>
      <c r="C23" s="137">
        <f>+D6+23740</f>
        <v>45291</v>
      </c>
      <c r="D23" s="137"/>
      <c r="E23" s="76">
        <f>+C47</f>
        <v>25550</v>
      </c>
    </row>
    <row r="24" spans="1:9" ht="45.75" hidden="1" thickBot="1" x14ac:dyDescent="0.3">
      <c r="A24" s="48">
        <v>19</v>
      </c>
      <c r="B24" s="52" t="s">
        <v>50</v>
      </c>
      <c r="C24" s="138">
        <f>+C23+1</f>
        <v>45292</v>
      </c>
      <c r="D24" s="138"/>
      <c r="E24" s="53">
        <f>+C51</f>
        <v>15330</v>
      </c>
    </row>
    <row r="25" spans="1:9" ht="13.5" customHeight="1" thickBot="1" x14ac:dyDescent="0.3">
      <c r="A25" s="73"/>
      <c r="B25" s="77" t="s">
        <v>37</v>
      </c>
      <c r="C25" s="78"/>
      <c r="D25" s="95">
        <v>0.17</v>
      </c>
      <c r="E25" s="80">
        <f>+C15*D25</f>
        <v>4343.5</v>
      </c>
    </row>
    <row r="26" spans="1:9" ht="15.75" thickBot="1" x14ac:dyDescent="0.3">
      <c r="A26" s="117" t="s">
        <v>45</v>
      </c>
      <c r="B26" s="118"/>
      <c r="C26" s="118"/>
      <c r="D26" s="118"/>
      <c r="E26" s="120"/>
    </row>
    <row r="27" spans="1:9" ht="15.75" thickBot="1" x14ac:dyDescent="0.3">
      <c r="A27" s="55" t="s">
        <v>51</v>
      </c>
      <c r="B27" s="56" t="s">
        <v>47</v>
      </c>
      <c r="C27" s="57"/>
      <c r="D27" s="98">
        <f>+C15+E25-C16</f>
        <v>19673.5</v>
      </c>
      <c r="E27" s="97">
        <f>+D27-'Calculation of Pension 6 pay'!D27</f>
        <v>4630.2999999999993</v>
      </c>
    </row>
    <row r="28" spans="1:9" hidden="1" x14ac:dyDescent="0.25">
      <c r="A28" s="81" t="s">
        <v>52</v>
      </c>
      <c r="B28" s="82" t="s">
        <v>41</v>
      </c>
      <c r="C28" s="83" t="s">
        <v>23</v>
      </c>
      <c r="D28" s="84">
        <f>+((D4+D5)*D25+(D4+D5))*E28/30</f>
        <v>597870</v>
      </c>
      <c r="E28" s="96">
        <v>300</v>
      </c>
    </row>
    <row r="29" spans="1:9" hidden="1" x14ac:dyDescent="0.25">
      <c r="A29" s="60" t="s">
        <v>53</v>
      </c>
      <c r="B29" s="61" t="s">
        <v>42</v>
      </c>
      <c r="C29" s="47" t="s">
        <v>23</v>
      </c>
      <c r="D29" s="62"/>
      <c r="E29" s="63" t="s">
        <v>61</v>
      </c>
    </row>
    <row r="30" spans="1:9" hidden="1" x14ac:dyDescent="0.25">
      <c r="A30" s="86" t="s">
        <v>54</v>
      </c>
      <c r="B30" s="87" t="s">
        <v>43</v>
      </c>
      <c r="C30" s="83" t="s">
        <v>23</v>
      </c>
      <c r="D30" s="88"/>
      <c r="E30" s="89" t="s">
        <v>61</v>
      </c>
    </row>
    <row r="31" spans="1:9" ht="30" hidden="1" x14ac:dyDescent="0.25">
      <c r="A31" s="60" t="s">
        <v>55</v>
      </c>
      <c r="B31" s="50" t="s">
        <v>59</v>
      </c>
      <c r="C31" s="47" t="s">
        <v>23</v>
      </c>
      <c r="D31" s="62"/>
      <c r="E31" s="63" t="s">
        <v>61</v>
      </c>
    </row>
    <row r="32" spans="1:9" hidden="1" x14ac:dyDescent="0.25">
      <c r="A32" s="86" t="s">
        <v>56</v>
      </c>
      <c r="B32" s="90" t="s">
        <v>0</v>
      </c>
      <c r="C32" s="83" t="s">
        <v>23</v>
      </c>
      <c r="D32" s="88">
        <f>+C13</f>
        <v>1026619</v>
      </c>
      <c r="E32" s="89" t="s">
        <v>60</v>
      </c>
    </row>
    <row r="33" spans="1:12" ht="15.75" hidden="1" thickBot="1" x14ac:dyDescent="0.3">
      <c r="A33" s="64" t="s">
        <v>57</v>
      </c>
      <c r="B33" s="54" t="s">
        <v>5</v>
      </c>
      <c r="C33" s="47" t="s">
        <v>23</v>
      </c>
      <c r="D33" s="65">
        <f>+C21</f>
        <v>843150</v>
      </c>
      <c r="E33" s="66" t="s">
        <v>61</v>
      </c>
    </row>
    <row r="34" spans="1:12" ht="15.75" hidden="1" thickBot="1" x14ac:dyDescent="0.3">
      <c r="A34" s="91" t="s">
        <v>58</v>
      </c>
      <c r="B34" s="92" t="s">
        <v>44</v>
      </c>
      <c r="C34" s="92"/>
      <c r="D34" s="93">
        <f>+D28+D29+D30+D31+D32+D33</f>
        <v>2467639</v>
      </c>
      <c r="E34" s="94"/>
    </row>
    <row r="35" spans="1:12" ht="15.75" hidden="1" thickTop="1" x14ac:dyDescent="0.25"/>
    <row r="36" spans="1:12" s="37" customFormat="1" hidden="1" x14ac:dyDescent="0.25">
      <c r="F36" s="36"/>
      <c r="G36" s="36"/>
      <c r="H36" s="36"/>
    </row>
    <row r="37" spans="1:12" hidden="1" x14ac:dyDescent="0.25"/>
    <row r="38" spans="1:12" ht="18" hidden="1" x14ac:dyDescent="0.25">
      <c r="B38" s="6"/>
      <c r="C38" s="8" t="str">
        <f>YEAR($D$8)-YEAR($D$7)-IF(OR(MONTH($D$8)&lt;MONTH($D$7),AND(MONTH($D$8)=MONTH($D$7), DAY($D$8)&lt;DAY($D$7))),1,0)&amp;" years, "&amp;MONTH($D$8)-MONTH($D$7)+IF(AND(MONTH($D$8) &lt;=MONTH($D$7),DAY($D$8)&lt;DAY($D$7)),11,IF(AND(MONTH($D$8)&lt;MONTH($D$7),DAY($D$8) &gt;=DAY($D$7)),12,IF(AND(MONTH($D$8)&gt;MONTH($D$7),DAY($D$8)&lt;DAY($D$7)),-1)))&amp;" months, "&amp;$D$8-DATE(YEAR($D$8),MONTH($D$8)-IF(DAY($D$8)&lt;DAY($D$7),1,0),DAY($D$7))&amp;" days"</f>
        <v>35 years, 7 months, 22 days</v>
      </c>
      <c r="D38" s="7"/>
      <c r="E38" s="9"/>
    </row>
    <row r="39" spans="1:12" ht="18" hidden="1" x14ac:dyDescent="0.25">
      <c r="B39" s="10"/>
      <c r="C39" s="1" t="str">
        <f>YEAR($D$8)-YEAR($D$7)-IF(OR(MONTH($D$8)&lt;MONTH($D$7),AND(MONTH($D$8)=MONTH($D$7),DAY($D$8)&lt;DAY($D$7))),1,0)&amp;" years"</f>
        <v>35 years</v>
      </c>
      <c r="D39" s="1" t="str">
        <f>MONTH($D$8)-MONTH($D$7)+IF(AND(MONTH($D$8)&lt;=MONTH($D$7),DAY($D$8)&lt;DAY($D$7)),11,IF(AND(MONTH($D$8)&lt;MONTH($D$7),DAY($D$8)&gt;=DAY($D$7)),12,IF(AND(MONTH($D$8)&gt;MONTH($D$7),DAY($D$8)&lt;DAY($D$7)),-1)))&amp;" months"</f>
        <v>7 months</v>
      </c>
      <c r="E39" s="11" t="str">
        <f>$D$8-DATE(YEAR($D$8),MONTH($D$8)-IF(DAY($D$8)&lt;DAY($D$7),1,0),DAY($D$7))&amp;" days"</f>
        <v>22 days</v>
      </c>
    </row>
    <row r="40" spans="1:12" ht="18" hidden="1" x14ac:dyDescent="0.25">
      <c r="B40" s="10"/>
      <c r="C40" s="1">
        <f>YEAR($D$8)-YEAR($D$7)-IF(OR(MONTH($D$8)&lt;MONTH($D$7),AND(MONTH($D$8)=MONTH($D$7),DAY($D$8)&lt;DAY($D$7))),1,0)</f>
        <v>35</v>
      </c>
      <c r="D40" s="1">
        <f>MONTH($D$8)-MONTH($D$7)+IF(AND(MONTH($D$8)&lt;=MONTH($D$7),DAY($D$8)&lt;DAY($D$7)),11,IF(AND(MONTH($D$8)&lt;MONTH($D$7),DAY($D$8)&gt;=DAY($D$7)),12,IF(AND(MONTH($D$8)&gt;MONTH($D$7),DAY($D$8)&lt;DAY($D$7)),-1)))</f>
        <v>7</v>
      </c>
      <c r="E40" s="11">
        <f>$D$8-DATE(YEAR($D$8),MONTH($D$8)-IF(DAY($D$8)&lt;DAY($D$7),1,0),DAY($D$7))</f>
        <v>22</v>
      </c>
    </row>
    <row r="41" spans="1:12" ht="21" hidden="1" x14ac:dyDescent="0.35">
      <c r="B41" s="10"/>
      <c r="C41" s="12">
        <f>+C40</f>
        <v>35</v>
      </c>
      <c r="D41" s="12">
        <f>+D40</f>
        <v>7</v>
      </c>
      <c r="E41" s="13">
        <f>+E40</f>
        <v>22</v>
      </c>
      <c r="G41" s="42">
        <v>0</v>
      </c>
      <c r="H41" s="42">
        <v>0</v>
      </c>
    </row>
    <row r="42" spans="1:12" ht="21" hidden="1" x14ac:dyDescent="0.35">
      <c r="B42" s="10"/>
      <c r="C42" s="14">
        <f>C41*2</f>
        <v>70</v>
      </c>
      <c r="D42" s="15">
        <f>D41</f>
        <v>7</v>
      </c>
      <c r="E42" s="16">
        <v>0</v>
      </c>
      <c r="G42" s="42">
        <v>3</v>
      </c>
      <c r="H42" s="42">
        <v>1</v>
      </c>
    </row>
    <row r="43" spans="1:12" ht="21" hidden="1" x14ac:dyDescent="0.35">
      <c r="B43" s="10"/>
      <c r="C43" s="15">
        <f>IF(C42&lt;67,C42,66)</f>
        <v>66</v>
      </c>
      <c r="D43" s="43">
        <f>VLOOKUP(D42,G41:H46,2)</f>
        <v>2</v>
      </c>
      <c r="E43" s="16">
        <f>D43+C43</f>
        <v>68</v>
      </c>
      <c r="G43" s="42">
        <v>6</v>
      </c>
      <c r="H43" s="42">
        <v>2</v>
      </c>
    </row>
    <row r="44" spans="1:12" ht="21" hidden="1" x14ac:dyDescent="0.25">
      <c r="B44" s="10"/>
      <c r="C44" s="17"/>
      <c r="D44" s="18"/>
      <c r="E44" s="19">
        <f>IF(E43&lt;67,E43,66)</f>
        <v>66</v>
      </c>
      <c r="K44" s="4"/>
      <c r="L44" s="4"/>
    </row>
    <row r="45" spans="1:12" ht="18.75" hidden="1" x14ac:dyDescent="0.25">
      <c r="B45" s="10"/>
      <c r="C45" s="5"/>
      <c r="D45" s="5"/>
      <c r="E45" s="20"/>
      <c r="H45" s="23"/>
      <c r="I45" s="3"/>
      <c r="K45" s="3"/>
      <c r="L45" s="3"/>
    </row>
    <row r="46" spans="1:12" ht="18.75" hidden="1" x14ac:dyDescent="0.25">
      <c r="B46" s="10"/>
      <c r="C46" s="5">
        <f>+D4+D5</f>
        <v>51100</v>
      </c>
      <c r="D46" s="32"/>
      <c r="E46" s="33"/>
      <c r="H46" s="23"/>
      <c r="I46" s="3"/>
      <c r="K46" s="4"/>
      <c r="L46" s="4"/>
    </row>
    <row r="47" spans="1:12" ht="18.75" hidden="1" x14ac:dyDescent="0.25">
      <c r="B47" s="21" t="s">
        <v>12</v>
      </c>
      <c r="C47" s="22">
        <f>ROUND(C46/2,0)</f>
        <v>25550</v>
      </c>
      <c r="D47" s="23"/>
      <c r="E47" s="33"/>
      <c r="H47" s="23"/>
      <c r="I47" s="3"/>
      <c r="K47" s="3"/>
      <c r="L47" s="3"/>
    </row>
    <row r="48" spans="1:12" ht="18.75" hidden="1" x14ac:dyDescent="0.25">
      <c r="B48" s="21"/>
      <c r="C48" s="24"/>
      <c r="D48" s="23"/>
      <c r="E48" s="20"/>
      <c r="K48" s="4"/>
      <c r="L48" s="4"/>
    </row>
    <row r="49" spans="2:12" ht="18.75" hidden="1" x14ac:dyDescent="0.25">
      <c r="B49" s="21" t="s">
        <v>15</v>
      </c>
      <c r="C49" s="22">
        <f>ROUND(C46/4*E44,0)</f>
        <v>843150</v>
      </c>
      <c r="D49" s="23" t="s">
        <v>16</v>
      </c>
      <c r="E49" s="20"/>
      <c r="F49" s="23"/>
      <c r="G49" s="23"/>
      <c r="J49" s="3"/>
      <c r="K49" s="3"/>
      <c r="L49" s="3"/>
    </row>
    <row r="50" spans="2:12" ht="18.75" hidden="1" x14ac:dyDescent="0.25">
      <c r="B50" s="21"/>
      <c r="C50" s="24"/>
      <c r="D50" s="23"/>
      <c r="E50" s="20"/>
      <c r="F50" s="23"/>
      <c r="G50" s="23"/>
      <c r="J50" s="3"/>
      <c r="K50" s="3"/>
      <c r="L50" s="3"/>
    </row>
    <row r="51" spans="2:12" ht="18.75" hidden="1" x14ac:dyDescent="0.25">
      <c r="B51" s="21" t="s">
        <v>18</v>
      </c>
      <c r="C51" s="22">
        <f>ROUND(C46*30%,0)</f>
        <v>15330</v>
      </c>
      <c r="D51" s="23"/>
      <c r="E51" s="20"/>
      <c r="F51" s="23"/>
      <c r="J51" s="3"/>
      <c r="K51" s="3"/>
      <c r="L51" s="3"/>
    </row>
    <row r="52" spans="2:12" ht="18.75" hidden="1" x14ac:dyDescent="0.25">
      <c r="B52" s="21"/>
      <c r="C52" s="24"/>
      <c r="D52" s="23"/>
      <c r="E52" s="20"/>
    </row>
    <row r="53" spans="2:12" ht="18.75" hidden="1" x14ac:dyDescent="0.25">
      <c r="B53" s="21" t="s">
        <v>20</v>
      </c>
      <c r="C53" s="22">
        <f>ROUND(C47*40%,0)</f>
        <v>10220</v>
      </c>
      <c r="D53" s="23"/>
      <c r="E53" s="25">
        <f>+C11</f>
        <v>8.3710000000000004</v>
      </c>
    </row>
    <row r="54" spans="2:12" ht="18.75" hidden="1" x14ac:dyDescent="0.25">
      <c r="B54" s="10"/>
      <c r="C54" s="22">
        <f>ROUND(C53*E53*12,0)</f>
        <v>1026619</v>
      </c>
      <c r="D54" s="23"/>
      <c r="E54" s="26">
        <f>C47-C53</f>
        <v>15330</v>
      </c>
    </row>
    <row r="55" spans="2:12" ht="18.75" hidden="1" x14ac:dyDescent="0.25">
      <c r="B55" s="10"/>
      <c r="C55" s="5"/>
      <c r="D55" s="5"/>
      <c r="E55" s="25"/>
    </row>
    <row r="56" spans="2:12" ht="18.75" hidden="1" x14ac:dyDescent="0.25">
      <c r="B56" s="27" t="s">
        <v>13</v>
      </c>
      <c r="C56" s="23" t="s">
        <v>14</v>
      </c>
      <c r="D56" s="23" t="str">
        <f>CONCATENATE(B56,C56,C46)</f>
        <v xml:space="preserve"> 1/2  x 51100</v>
      </c>
      <c r="E56" s="28"/>
    </row>
    <row r="57" spans="2:12" ht="18.75" hidden="1" x14ac:dyDescent="0.25">
      <c r="B57" s="21"/>
      <c r="C57" s="23"/>
      <c r="D57" s="23"/>
      <c r="E57" s="25"/>
    </row>
    <row r="58" spans="2:12" ht="18.75" hidden="1" x14ac:dyDescent="0.25">
      <c r="B58" s="27" t="s">
        <v>17</v>
      </c>
      <c r="C58" s="23"/>
      <c r="D58" s="23" t="str">
        <f>CONCATENATE(B58,C56,E44,C56,C46)</f>
        <v xml:space="preserve"> 1/4  x 66 x 51100</v>
      </c>
      <c r="E58" s="28"/>
    </row>
    <row r="59" spans="2:12" ht="18.75" hidden="1" x14ac:dyDescent="0.25">
      <c r="B59" s="21"/>
      <c r="C59" s="23"/>
      <c r="D59" s="23"/>
      <c r="E59" s="25"/>
    </row>
    <row r="60" spans="2:12" ht="18.75" hidden="1" x14ac:dyDescent="0.25">
      <c r="B60" s="27" t="s">
        <v>19</v>
      </c>
      <c r="C60" s="23"/>
      <c r="D60" s="23" t="str">
        <f>CONCATENATE(C46,C56,B60)</f>
        <v xml:space="preserve">51100 x 30% </v>
      </c>
      <c r="E60" s="28"/>
    </row>
    <row r="61" spans="2:12" hidden="1" x14ac:dyDescent="0.25">
      <c r="B61" s="29"/>
      <c r="C61" s="30"/>
      <c r="D61" s="30"/>
      <c r="E61" s="31"/>
    </row>
    <row r="62" spans="2:12" hidden="1" x14ac:dyDescent="0.25">
      <c r="B62" s="2" t="s">
        <v>22</v>
      </c>
    </row>
    <row r="63" spans="2:12" hidden="1" x14ac:dyDescent="0.25"/>
    <row r="64" spans="2:12" hidden="1" x14ac:dyDescent="0.25"/>
    <row r="65" spans="1:2" hidden="1" x14ac:dyDescent="0.25"/>
    <row r="66" spans="1:2" hidden="1" x14ac:dyDescent="0.25">
      <c r="A66" s="2" t="s">
        <v>62</v>
      </c>
    </row>
    <row r="67" spans="1:2" hidden="1" x14ac:dyDescent="0.25">
      <c r="B67" s="2" t="s">
        <v>63</v>
      </c>
    </row>
    <row r="68" spans="1:2" hidden="1" x14ac:dyDescent="0.25">
      <c r="B68" s="2" t="s">
        <v>64</v>
      </c>
    </row>
    <row r="69" spans="1:2" hidden="1" x14ac:dyDescent="0.25">
      <c r="B69" s="2" t="s">
        <v>65</v>
      </c>
    </row>
    <row r="70" spans="1:2" hidden="1" x14ac:dyDescent="0.25"/>
    <row r="71" spans="1:2" hidden="1" x14ac:dyDescent="0.25"/>
    <row r="72" spans="1:2" hidden="1" x14ac:dyDescent="0.25"/>
    <row r="73" spans="1:2" hidden="1" x14ac:dyDescent="0.25"/>
    <row r="74" spans="1:2" hidden="1" x14ac:dyDescent="0.25"/>
    <row r="75" spans="1:2" hidden="1" x14ac:dyDescent="0.25"/>
    <row r="76" spans="1:2" hidden="1" x14ac:dyDescent="0.25"/>
    <row r="77" spans="1:2" hidden="1" x14ac:dyDescent="0.25"/>
    <row r="78" spans="1:2" hidden="1" x14ac:dyDescent="0.25"/>
    <row r="79" spans="1:2" hidden="1" x14ac:dyDescent="0.25"/>
    <row r="80" spans="1:2" hidden="1" x14ac:dyDescent="0.25"/>
    <row r="81" hidden="1" x14ac:dyDescent="0.25"/>
    <row r="82" hidden="1" x14ac:dyDescent="0.25"/>
    <row r="83" hidden="1" x14ac:dyDescent="0.25"/>
  </sheetData>
  <dataConsolidate/>
  <mergeCells count="25">
    <mergeCell ref="A26:E26"/>
    <mergeCell ref="A10:E10"/>
    <mergeCell ref="B1:E1"/>
    <mergeCell ref="A14:E14"/>
    <mergeCell ref="A18:E18"/>
    <mergeCell ref="A22:E22"/>
    <mergeCell ref="C13:E13"/>
    <mergeCell ref="C15:E15"/>
    <mergeCell ref="C17:E17"/>
    <mergeCell ref="D6:E6"/>
    <mergeCell ref="D8:E8"/>
    <mergeCell ref="D9:E9"/>
    <mergeCell ref="C11:E11"/>
    <mergeCell ref="C12:E12"/>
    <mergeCell ref="D2:E2"/>
    <mergeCell ref="D3:E3"/>
    <mergeCell ref="C20:E20"/>
    <mergeCell ref="C21:E21"/>
    <mergeCell ref="C23:D23"/>
    <mergeCell ref="C24:D24"/>
    <mergeCell ref="D4:E4"/>
    <mergeCell ref="D5:E5"/>
    <mergeCell ref="D7:E7"/>
    <mergeCell ref="C16:E16"/>
    <mergeCell ref="C19:E19"/>
  </mergeCells>
  <dataValidations count="1">
    <dataValidation type="list" allowBlank="1" showInputMessage="1" showErrorMessage="1" sqref="C11">
      <formula1>$I$7:$I$18</formula1>
    </dataValidation>
  </dataValidations>
  <hyperlinks>
    <hyperlink ref="B30" r:id="rId1"/>
  </hyperlinks>
  <pageMargins left="0.70866141732283472" right="0.70866141732283472" top="0.74803149606299213" bottom="0.74803149606299213" header="0.31496062992125984" footer="0.31496062992125984"/>
  <pageSetup paperSize="9" scale="119" orientation="portrait" r:id="rId2"/>
  <rowBreaks count="1" manualBreakCount="1">
    <brk id="3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5"/>
  <sheetViews>
    <sheetView view="pageBreakPreview" zoomScale="220" zoomScaleNormal="100" zoomScaleSheetLayoutView="220" workbookViewId="0">
      <selection activeCell="B1" sqref="B1:E1"/>
    </sheetView>
  </sheetViews>
  <sheetFormatPr defaultRowHeight="15" x14ac:dyDescent="0.25"/>
  <cols>
    <col min="1" max="1" width="3.140625" style="2" customWidth="1"/>
    <col min="2" max="2" width="36.7109375" style="2" customWidth="1"/>
    <col min="3" max="3" width="2.5703125" style="2" customWidth="1"/>
    <col min="4" max="4" width="14.42578125" style="2" customWidth="1"/>
    <col min="5" max="5" width="12" style="2" customWidth="1"/>
    <col min="6" max="6" width="37.28515625" style="5" customWidth="1"/>
    <col min="7" max="7" width="13.5703125" style="5" customWidth="1"/>
    <col min="8" max="8" width="22.42578125" style="5" customWidth="1"/>
    <col min="9" max="9" width="9.140625" style="2" customWidth="1"/>
    <col min="10" max="10" width="23.7109375" style="2" customWidth="1"/>
    <col min="11" max="11" width="9.140625" style="2"/>
    <col min="12" max="12" width="41.28515625" style="2" customWidth="1"/>
    <col min="13" max="16384" width="9.140625" style="2"/>
  </cols>
  <sheetData>
    <row r="1" spans="1:9" ht="16.5" thickTop="1" thickBot="1" x14ac:dyDescent="0.3">
      <c r="A1" s="44"/>
      <c r="B1" s="102" t="s">
        <v>69</v>
      </c>
      <c r="C1" s="102"/>
      <c r="D1" s="102"/>
      <c r="E1" s="103"/>
      <c r="F1" s="39" t="s">
        <v>48</v>
      </c>
    </row>
    <row r="2" spans="1:9" x14ac:dyDescent="0.25">
      <c r="A2" s="67">
        <v>1</v>
      </c>
      <c r="B2" s="68" t="s">
        <v>8</v>
      </c>
      <c r="C2" s="69" t="s">
        <v>23</v>
      </c>
      <c r="D2" s="104" t="str">
        <f>+'Calculation of Pension 7 pay'!D2:E2</f>
        <v>Pramod Puri</v>
      </c>
      <c r="E2" s="105"/>
    </row>
    <row r="3" spans="1:9" x14ac:dyDescent="0.25">
      <c r="A3" s="45">
        <v>2</v>
      </c>
      <c r="B3" s="46" t="s">
        <v>9</v>
      </c>
      <c r="C3" s="61" t="s">
        <v>23</v>
      </c>
      <c r="D3" s="106" t="str">
        <f>+'Calculation of Pension 7 pay'!D3</f>
        <v>Senior Clerk</v>
      </c>
      <c r="E3" s="107"/>
    </row>
    <row r="4" spans="1:9" x14ac:dyDescent="0.25">
      <c r="A4" s="70">
        <v>3</v>
      </c>
      <c r="B4" s="71" t="s">
        <v>24</v>
      </c>
      <c r="C4" s="69" t="s">
        <v>23</v>
      </c>
      <c r="D4" s="108">
        <f>+'Calculation of Pension 7 pay'!D4</f>
        <v>51100</v>
      </c>
      <c r="E4" s="109"/>
    </row>
    <row r="5" spans="1:9" x14ac:dyDescent="0.25">
      <c r="A5" s="45">
        <v>4</v>
      </c>
      <c r="B5" s="46" t="s">
        <v>25</v>
      </c>
      <c r="C5" s="61" t="s">
        <v>23</v>
      </c>
      <c r="D5" s="106">
        <v>0</v>
      </c>
      <c r="E5" s="107"/>
    </row>
    <row r="6" spans="1:9" x14ac:dyDescent="0.25">
      <c r="A6" s="70">
        <v>5</v>
      </c>
      <c r="B6" s="71" t="s">
        <v>11</v>
      </c>
      <c r="C6" s="69" t="s">
        <v>23</v>
      </c>
      <c r="D6" s="100">
        <f>+'Calculation of Pension 7 pay'!D6</f>
        <v>21551</v>
      </c>
      <c r="E6" s="101"/>
    </row>
    <row r="7" spans="1:9" x14ac:dyDescent="0.25">
      <c r="A7" s="45">
        <v>6</v>
      </c>
      <c r="B7" s="46" t="s">
        <v>10</v>
      </c>
      <c r="C7" s="61" t="s">
        <v>23</v>
      </c>
      <c r="D7" s="113">
        <f>+'Calculation of Pension 7 pay'!D7</f>
        <v>29715</v>
      </c>
      <c r="E7" s="114"/>
      <c r="H7" s="38" t="s">
        <v>26</v>
      </c>
      <c r="I7" s="34">
        <v>8.8079999999999998</v>
      </c>
    </row>
    <row r="8" spans="1:9" x14ac:dyDescent="0.25">
      <c r="A8" s="70">
        <v>7</v>
      </c>
      <c r="B8" s="71" t="s">
        <v>21</v>
      </c>
      <c r="C8" s="69" t="s">
        <v>23</v>
      </c>
      <c r="D8" s="100">
        <f>+'Calculation of Pension 7 pay'!D8</f>
        <v>42735</v>
      </c>
      <c r="E8" s="101"/>
      <c r="H8" s="38"/>
      <c r="I8" s="34"/>
    </row>
    <row r="9" spans="1:9" ht="15.75" thickBot="1" x14ac:dyDescent="0.3">
      <c r="A9" s="48">
        <v>8</v>
      </c>
      <c r="B9" s="49" t="s">
        <v>38</v>
      </c>
      <c r="C9" s="61" t="s">
        <v>23</v>
      </c>
      <c r="D9" s="115" t="str">
        <f>+C38</f>
        <v>35 years, 7 months, 22 days</v>
      </c>
      <c r="E9" s="116"/>
      <c r="H9" s="38" t="s">
        <v>30</v>
      </c>
      <c r="I9" s="34">
        <v>8.7080000000000002</v>
      </c>
    </row>
    <row r="10" spans="1:9" ht="15.75" thickBot="1" x14ac:dyDescent="0.3">
      <c r="A10" s="117" t="s">
        <v>0</v>
      </c>
      <c r="B10" s="118"/>
      <c r="C10" s="119"/>
      <c r="D10" s="118"/>
      <c r="E10" s="120"/>
      <c r="F10" s="36"/>
      <c r="H10" s="38" t="s">
        <v>31</v>
      </c>
      <c r="I10" s="34">
        <v>8.7240000000000002</v>
      </c>
    </row>
    <row r="11" spans="1:9" x14ac:dyDescent="0.25">
      <c r="A11" s="67">
        <v>9</v>
      </c>
      <c r="B11" s="72" t="s">
        <v>1</v>
      </c>
      <c r="C11" s="121">
        <v>8.3710000000000004</v>
      </c>
      <c r="D11" s="121"/>
      <c r="E11" s="122"/>
      <c r="H11" s="38" t="s">
        <v>29</v>
      </c>
      <c r="I11" s="34">
        <v>8.6780000000000008</v>
      </c>
    </row>
    <row r="12" spans="1:9" x14ac:dyDescent="0.25">
      <c r="A12" s="45">
        <v>10</v>
      </c>
      <c r="B12" s="50" t="s">
        <v>2</v>
      </c>
      <c r="C12" s="123">
        <f>+'Calculation of Pension 7 pay'!C12-'Calculation of Pension 6 pay'!C12</f>
        <v>7086</v>
      </c>
      <c r="D12" s="123"/>
      <c r="E12" s="124"/>
      <c r="H12" s="38" t="s">
        <v>32</v>
      </c>
      <c r="I12" s="34">
        <v>8.6270000000000007</v>
      </c>
    </row>
    <row r="13" spans="1:9" ht="15.75" thickBot="1" x14ac:dyDescent="0.3">
      <c r="A13" s="73">
        <v>11</v>
      </c>
      <c r="B13" s="99" t="s">
        <v>0</v>
      </c>
      <c r="C13" s="125">
        <f>+'Calculation of Pension 7 pay'!C13-'Calculation of Pension 6 pay'!C13</f>
        <v>711802</v>
      </c>
      <c r="D13" s="125"/>
      <c r="E13" s="126"/>
      <c r="H13" s="38" t="s">
        <v>33</v>
      </c>
      <c r="I13" s="34">
        <v>8.5719999999999992</v>
      </c>
    </row>
    <row r="14" spans="1:9" ht="15.75" thickBot="1" x14ac:dyDescent="0.3">
      <c r="A14" s="117" t="s">
        <v>3</v>
      </c>
      <c r="B14" s="118"/>
      <c r="C14" s="118"/>
      <c r="D14" s="118"/>
      <c r="E14" s="120"/>
      <c r="H14" s="38" t="s">
        <v>34</v>
      </c>
      <c r="I14" s="34">
        <v>8.5120000000000005</v>
      </c>
    </row>
    <row r="15" spans="1:9" x14ac:dyDescent="0.25">
      <c r="A15" s="67">
        <v>12</v>
      </c>
      <c r="B15" s="72" t="s">
        <v>4</v>
      </c>
      <c r="C15" s="127">
        <f>+'Calculation of Pension 7 pay'!C15</f>
        <v>25550</v>
      </c>
      <c r="D15" s="127"/>
      <c r="E15" s="128"/>
      <c r="H15" s="38" t="s">
        <v>35</v>
      </c>
      <c r="I15" s="34">
        <v>8.4459999999999997</v>
      </c>
    </row>
    <row r="16" spans="1:9" x14ac:dyDescent="0.25">
      <c r="A16" s="45">
        <v>13</v>
      </c>
      <c r="B16" s="50" t="s">
        <v>2</v>
      </c>
      <c r="C16" s="123">
        <f>+'Calculation of Pension 7 pay'!C16</f>
        <v>10220</v>
      </c>
      <c r="D16" s="123"/>
      <c r="E16" s="124"/>
      <c r="H16" s="40" t="s">
        <v>28</v>
      </c>
      <c r="I16" s="41">
        <v>8.3710000000000004</v>
      </c>
    </row>
    <row r="17" spans="1:9" ht="15.75" thickBot="1" x14ac:dyDescent="0.3">
      <c r="A17" s="73">
        <v>14</v>
      </c>
      <c r="B17" s="74" t="s">
        <v>39</v>
      </c>
      <c r="C17" s="129">
        <f>+'Calculation of Pension 7 pay'!C17</f>
        <v>15330</v>
      </c>
      <c r="D17" s="129"/>
      <c r="E17" s="130"/>
      <c r="F17" s="35"/>
      <c r="H17" s="38" t="s">
        <v>36</v>
      </c>
      <c r="I17" s="34">
        <v>8.2870000000000008</v>
      </c>
    </row>
    <row r="18" spans="1:9" x14ac:dyDescent="0.25">
      <c r="A18" s="110" t="s">
        <v>5</v>
      </c>
      <c r="B18" s="111"/>
      <c r="C18" s="111"/>
      <c r="D18" s="111"/>
      <c r="E18" s="112"/>
      <c r="F18" s="35"/>
      <c r="H18" s="40" t="s">
        <v>27</v>
      </c>
      <c r="I18" s="41">
        <v>8.1940000000000008</v>
      </c>
    </row>
    <row r="19" spans="1:9" x14ac:dyDescent="0.25">
      <c r="A19" s="70">
        <v>15</v>
      </c>
      <c r="B19" s="75" t="s">
        <v>6</v>
      </c>
      <c r="C19" s="131">
        <f>+'Calculation of Pension 7 pay'!C21-'Calculation of Pension 6 pay'!C21</f>
        <v>584595</v>
      </c>
      <c r="D19" s="131"/>
      <c r="E19" s="132"/>
    </row>
    <row r="20" spans="1:9" ht="19.5" customHeight="1" x14ac:dyDescent="0.25">
      <c r="A20" s="45">
        <v>16</v>
      </c>
      <c r="B20" s="50" t="s">
        <v>66</v>
      </c>
      <c r="C20" s="133">
        <v>0</v>
      </c>
      <c r="D20" s="133"/>
      <c r="E20" s="134"/>
    </row>
    <row r="21" spans="1:9" ht="15.75" thickBot="1" x14ac:dyDescent="0.3">
      <c r="A21" s="48">
        <v>17</v>
      </c>
      <c r="B21" s="51" t="s">
        <v>40</v>
      </c>
      <c r="C21" s="135">
        <f>IF(C19&gt;1400000,1400000,C19)</f>
        <v>584595</v>
      </c>
      <c r="D21" s="135"/>
      <c r="E21" s="136"/>
    </row>
    <row r="22" spans="1:9" ht="15.75" thickBot="1" x14ac:dyDescent="0.3">
      <c r="A22" s="117" t="s">
        <v>7</v>
      </c>
      <c r="B22" s="118"/>
      <c r="C22" s="118"/>
      <c r="D22" s="118"/>
      <c r="E22" s="120"/>
    </row>
    <row r="23" spans="1:9" ht="45" hidden="1" x14ac:dyDescent="0.25">
      <c r="A23" s="67">
        <v>18</v>
      </c>
      <c r="B23" s="72" t="s">
        <v>49</v>
      </c>
      <c r="C23" s="137">
        <f>+D6+23740</f>
        <v>45291</v>
      </c>
      <c r="D23" s="137"/>
      <c r="E23" s="76">
        <f>+C47</f>
        <v>25550</v>
      </c>
    </row>
    <row r="24" spans="1:9" ht="45.75" hidden="1" thickBot="1" x14ac:dyDescent="0.3">
      <c r="A24" s="48">
        <v>19</v>
      </c>
      <c r="B24" s="52" t="s">
        <v>50</v>
      </c>
      <c r="C24" s="138">
        <f>+C23+1</f>
        <v>45292</v>
      </c>
      <c r="D24" s="138"/>
      <c r="E24" s="53">
        <f>+C51</f>
        <v>15330</v>
      </c>
    </row>
    <row r="25" spans="1:9" ht="13.5" customHeight="1" thickBot="1" x14ac:dyDescent="0.3">
      <c r="A25" s="73"/>
      <c r="B25" s="77" t="s">
        <v>37</v>
      </c>
      <c r="C25" s="78"/>
      <c r="D25" s="95">
        <v>0.17</v>
      </c>
      <c r="E25" s="80">
        <f>+C15*D25</f>
        <v>4343.5</v>
      </c>
    </row>
    <row r="26" spans="1:9" ht="15.75" thickBot="1" x14ac:dyDescent="0.3">
      <c r="A26" s="117" t="s">
        <v>45</v>
      </c>
      <c r="B26" s="118"/>
      <c r="C26" s="118"/>
      <c r="D26" s="118"/>
      <c r="E26" s="120"/>
    </row>
    <row r="27" spans="1:9" ht="15.75" thickBot="1" x14ac:dyDescent="0.3">
      <c r="A27" s="55" t="s">
        <v>51</v>
      </c>
      <c r="B27" s="56" t="s">
        <v>47</v>
      </c>
      <c r="C27" s="57"/>
      <c r="D27" s="98">
        <f>+C15+E25-C16</f>
        <v>19673.5</v>
      </c>
      <c r="E27" s="97">
        <f>+D27-'Calculation of Pension 6 pay'!D27</f>
        <v>4630.2999999999993</v>
      </c>
    </row>
    <row r="28" spans="1:9" hidden="1" x14ac:dyDescent="0.25">
      <c r="A28" s="81" t="s">
        <v>52</v>
      </c>
      <c r="B28" s="82" t="s">
        <v>41</v>
      </c>
      <c r="C28" s="83" t="s">
        <v>23</v>
      </c>
      <c r="D28" s="84">
        <f>+'Calculation of Pension 7 pay'!D28-'Calculation of Pension 6 pay'!D28</f>
        <v>234326</v>
      </c>
      <c r="E28" s="96">
        <v>300</v>
      </c>
    </row>
    <row r="29" spans="1:9" hidden="1" x14ac:dyDescent="0.25">
      <c r="A29" s="60" t="s">
        <v>53</v>
      </c>
      <c r="B29" s="61" t="s">
        <v>42</v>
      </c>
      <c r="C29" s="47" t="s">
        <v>23</v>
      </c>
      <c r="D29" s="62"/>
      <c r="E29" s="63" t="s">
        <v>61</v>
      </c>
    </row>
    <row r="30" spans="1:9" hidden="1" x14ac:dyDescent="0.25">
      <c r="A30" s="86" t="s">
        <v>54</v>
      </c>
      <c r="B30" s="87" t="s">
        <v>43</v>
      </c>
      <c r="C30" s="83" t="s">
        <v>23</v>
      </c>
      <c r="D30" s="88"/>
      <c r="E30" s="89" t="s">
        <v>61</v>
      </c>
    </row>
    <row r="31" spans="1:9" ht="30" hidden="1" x14ac:dyDescent="0.25">
      <c r="A31" s="60" t="s">
        <v>55</v>
      </c>
      <c r="B31" s="50" t="s">
        <v>59</v>
      </c>
      <c r="C31" s="47" t="s">
        <v>23</v>
      </c>
      <c r="D31" s="62"/>
      <c r="E31" s="63" t="s">
        <v>61</v>
      </c>
    </row>
    <row r="32" spans="1:9" hidden="1" x14ac:dyDescent="0.25">
      <c r="A32" s="86" t="s">
        <v>56</v>
      </c>
      <c r="B32" s="90" t="s">
        <v>0</v>
      </c>
      <c r="C32" s="83" t="s">
        <v>23</v>
      </c>
      <c r="D32" s="88">
        <v>0</v>
      </c>
      <c r="E32" s="89" t="s">
        <v>60</v>
      </c>
    </row>
    <row r="33" spans="1:12" ht="15.75" hidden="1" thickBot="1" x14ac:dyDescent="0.3">
      <c r="A33" s="64" t="s">
        <v>57</v>
      </c>
      <c r="B33" s="54" t="s">
        <v>5</v>
      </c>
      <c r="C33" s="47" t="s">
        <v>23</v>
      </c>
      <c r="D33" s="65">
        <f>+C21</f>
        <v>584595</v>
      </c>
      <c r="E33" s="66" t="s">
        <v>61</v>
      </c>
    </row>
    <row r="34" spans="1:12" ht="15.75" hidden="1" thickBot="1" x14ac:dyDescent="0.3">
      <c r="A34" s="91" t="s">
        <v>58</v>
      </c>
      <c r="B34" s="92" t="s">
        <v>44</v>
      </c>
      <c r="C34" s="92"/>
      <c r="D34" s="93">
        <f>+D28+D29+D30+D31+D32+D33</f>
        <v>818921</v>
      </c>
      <c r="E34" s="94"/>
    </row>
    <row r="35" spans="1:12" ht="15.75" hidden="1" thickTop="1" x14ac:dyDescent="0.25"/>
    <row r="36" spans="1:12" s="37" customFormat="1" hidden="1" x14ac:dyDescent="0.25">
      <c r="F36" s="36"/>
      <c r="G36" s="36"/>
      <c r="H36" s="36"/>
    </row>
    <row r="37" spans="1:12" hidden="1" x14ac:dyDescent="0.25"/>
    <row r="38" spans="1:12" ht="18" hidden="1" x14ac:dyDescent="0.25">
      <c r="B38" s="6"/>
      <c r="C38" s="8" t="str">
        <f>YEAR($D$8)-YEAR($D$7)-IF(OR(MONTH($D$8)&lt;MONTH($D$7),AND(MONTH($D$8)=MONTH($D$7), DAY($D$8)&lt;DAY($D$7))),1,0)&amp;" years, "&amp;MONTH($D$8)-MONTH($D$7)+IF(AND(MONTH($D$8) &lt;=MONTH($D$7),DAY($D$8)&lt;DAY($D$7)),11,IF(AND(MONTH($D$8)&lt;MONTH($D$7),DAY($D$8) &gt;=DAY($D$7)),12,IF(AND(MONTH($D$8)&gt;MONTH($D$7),DAY($D$8)&lt;DAY($D$7)),-1)))&amp;" months, "&amp;$D$8-DATE(YEAR($D$8),MONTH($D$8)-IF(DAY($D$8)&lt;DAY($D$7),1,0),DAY($D$7))&amp;" days"</f>
        <v>35 years, 7 months, 22 days</v>
      </c>
      <c r="D38" s="7"/>
      <c r="E38" s="9"/>
    </row>
    <row r="39" spans="1:12" ht="18" hidden="1" x14ac:dyDescent="0.25">
      <c r="B39" s="10"/>
      <c r="C39" s="1" t="str">
        <f>YEAR($D$8)-YEAR($D$7)-IF(OR(MONTH($D$8)&lt;MONTH($D$7),AND(MONTH($D$8)=MONTH($D$7),DAY($D$8)&lt;DAY($D$7))),1,0)&amp;" years"</f>
        <v>35 years</v>
      </c>
      <c r="D39" s="1" t="str">
        <f>MONTH($D$8)-MONTH($D$7)+IF(AND(MONTH($D$8)&lt;=MONTH($D$7),DAY($D$8)&lt;DAY($D$7)),11,IF(AND(MONTH($D$8)&lt;MONTH($D$7),DAY($D$8)&gt;=DAY($D$7)),12,IF(AND(MONTH($D$8)&gt;MONTH($D$7),DAY($D$8)&lt;DAY($D$7)),-1)))&amp;" months"</f>
        <v>7 months</v>
      </c>
      <c r="E39" s="11" t="str">
        <f>$D$8-DATE(YEAR($D$8),MONTH($D$8)-IF(DAY($D$8)&lt;DAY($D$7),1,0),DAY($D$7))&amp;" days"</f>
        <v>22 days</v>
      </c>
    </row>
    <row r="40" spans="1:12" ht="18" hidden="1" x14ac:dyDescent="0.25">
      <c r="B40" s="10"/>
      <c r="C40" s="1">
        <f>YEAR($D$8)-YEAR($D$7)-IF(OR(MONTH($D$8)&lt;MONTH($D$7),AND(MONTH($D$8)=MONTH($D$7),DAY($D$8)&lt;DAY($D$7))),1,0)</f>
        <v>35</v>
      </c>
      <c r="D40" s="1">
        <f>MONTH($D$8)-MONTH($D$7)+IF(AND(MONTH($D$8)&lt;=MONTH($D$7),DAY($D$8)&lt;DAY($D$7)),11,IF(AND(MONTH($D$8)&lt;MONTH($D$7),DAY($D$8)&gt;=DAY($D$7)),12,IF(AND(MONTH($D$8)&gt;MONTH($D$7),DAY($D$8)&lt;DAY($D$7)),-1)))</f>
        <v>7</v>
      </c>
      <c r="E40" s="11">
        <f>$D$8-DATE(YEAR($D$8),MONTH($D$8)-IF(DAY($D$8)&lt;DAY($D$7),1,0),DAY($D$7))</f>
        <v>22</v>
      </c>
    </row>
    <row r="41" spans="1:12" ht="21" hidden="1" x14ac:dyDescent="0.35">
      <c r="B41" s="10"/>
      <c r="C41" s="12">
        <f>+C40</f>
        <v>35</v>
      </c>
      <c r="D41" s="12">
        <f>+D40</f>
        <v>7</v>
      </c>
      <c r="E41" s="13">
        <f>+E40</f>
        <v>22</v>
      </c>
      <c r="G41" s="42">
        <v>0</v>
      </c>
      <c r="H41" s="42">
        <v>0</v>
      </c>
    </row>
    <row r="42" spans="1:12" ht="21" hidden="1" x14ac:dyDescent="0.35">
      <c r="B42" s="10"/>
      <c r="C42" s="14">
        <f>C41*2</f>
        <v>70</v>
      </c>
      <c r="D42" s="15">
        <f>D41</f>
        <v>7</v>
      </c>
      <c r="E42" s="16">
        <v>0</v>
      </c>
      <c r="G42" s="42">
        <v>3</v>
      </c>
      <c r="H42" s="42">
        <v>1</v>
      </c>
    </row>
    <row r="43" spans="1:12" ht="21" hidden="1" x14ac:dyDescent="0.35">
      <c r="B43" s="10"/>
      <c r="C43" s="15">
        <f>IF(C42&lt;67,C42,66)</f>
        <v>66</v>
      </c>
      <c r="D43" s="43">
        <f>VLOOKUP(D42,G41:H46,2)</f>
        <v>2</v>
      </c>
      <c r="E43" s="16">
        <f>D43+C43</f>
        <v>68</v>
      </c>
      <c r="G43" s="42">
        <v>6</v>
      </c>
      <c r="H43" s="42">
        <v>2</v>
      </c>
    </row>
    <row r="44" spans="1:12" ht="21" hidden="1" x14ac:dyDescent="0.25">
      <c r="B44" s="10"/>
      <c r="C44" s="17"/>
      <c r="D44" s="18"/>
      <c r="E44" s="19">
        <f>IF(E43&lt;67,E43,66)</f>
        <v>66</v>
      </c>
      <c r="K44" s="4"/>
      <c r="L44" s="4"/>
    </row>
    <row r="45" spans="1:12" ht="18.75" hidden="1" x14ac:dyDescent="0.25">
      <c r="B45" s="10"/>
      <c r="C45" s="5"/>
      <c r="D45" s="5"/>
      <c r="E45" s="20"/>
      <c r="H45" s="23"/>
      <c r="I45" s="3"/>
      <c r="K45" s="3"/>
      <c r="L45" s="3"/>
    </row>
    <row r="46" spans="1:12" ht="18.75" hidden="1" x14ac:dyDescent="0.25">
      <c r="B46" s="10"/>
      <c r="C46" s="5">
        <f>+D4+D5</f>
        <v>51100</v>
      </c>
      <c r="D46" s="32"/>
      <c r="E46" s="33"/>
      <c r="H46" s="23"/>
      <c r="I46" s="3"/>
      <c r="K46" s="4"/>
      <c r="L46" s="4"/>
    </row>
    <row r="47" spans="1:12" ht="18.75" hidden="1" x14ac:dyDescent="0.25">
      <c r="B47" s="21" t="s">
        <v>12</v>
      </c>
      <c r="C47" s="22">
        <f>ROUND(C46/2,0)</f>
        <v>25550</v>
      </c>
      <c r="D47" s="23"/>
      <c r="E47" s="33"/>
      <c r="H47" s="23"/>
      <c r="I47" s="3"/>
      <c r="K47" s="3"/>
      <c r="L47" s="3"/>
    </row>
    <row r="48" spans="1:12" ht="18.75" hidden="1" x14ac:dyDescent="0.25">
      <c r="B48" s="21"/>
      <c r="C48" s="24"/>
      <c r="D48" s="23"/>
      <c r="E48" s="20"/>
      <c r="K48" s="4"/>
      <c r="L48" s="4"/>
    </row>
    <row r="49" spans="2:12" ht="18.75" hidden="1" x14ac:dyDescent="0.25">
      <c r="B49" s="21" t="s">
        <v>15</v>
      </c>
      <c r="C49" s="22">
        <f>ROUND(C46/4*E44,0)</f>
        <v>843150</v>
      </c>
      <c r="D49" s="23" t="s">
        <v>16</v>
      </c>
      <c r="E49" s="20"/>
      <c r="F49" s="23"/>
      <c r="G49" s="23"/>
      <c r="J49" s="3"/>
      <c r="K49" s="3"/>
      <c r="L49" s="3"/>
    </row>
    <row r="50" spans="2:12" ht="18.75" hidden="1" x14ac:dyDescent="0.25">
      <c r="B50" s="21"/>
      <c r="C50" s="24"/>
      <c r="D50" s="23"/>
      <c r="E50" s="20"/>
      <c r="F50" s="23"/>
      <c r="G50" s="23"/>
      <c r="J50" s="3"/>
      <c r="K50" s="3"/>
      <c r="L50" s="3"/>
    </row>
    <row r="51" spans="2:12" ht="18.75" hidden="1" x14ac:dyDescent="0.25">
      <c r="B51" s="21" t="s">
        <v>18</v>
      </c>
      <c r="C51" s="22">
        <f>ROUND(C46*30%,0)</f>
        <v>15330</v>
      </c>
      <c r="D51" s="23"/>
      <c r="E51" s="20"/>
      <c r="F51" s="23"/>
      <c r="J51" s="3"/>
      <c r="K51" s="3"/>
      <c r="L51" s="3"/>
    </row>
    <row r="52" spans="2:12" ht="18.75" hidden="1" x14ac:dyDescent="0.25">
      <c r="B52" s="21"/>
      <c r="C52" s="24"/>
      <c r="D52" s="23"/>
      <c r="E52" s="20"/>
    </row>
    <row r="53" spans="2:12" ht="18.75" hidden="1" x14ac:dyDescent="0.25">
      <c r="B53" s="21" t="s">
        <v>20</v>
      </c>
      <c r="C53" s="22">
        <f>ROUND(C47*40%,0)</f>
        <v>10220</v>
      </c>
      <c r="D53" s="23"/>
      <c r="E53" s="25">
        <f>+C11</f>
        <v>8.3710000000000004</v>
      </c>
    </row>
    <row r="54" spans="2:12" ht="18.75" hidden="1" x14ac:dyDescent="0.25">
      <c r="B54" s="10"/>
      <c r="C54" s="22">
        <f>ROUND(C53*E53*12,0)</f>
        <v>1026619</v>
      </c>
      <c r="D54" s="23"/>
      <c r="E54" s="26">
        <f>C47-C53</f>
        <v>15330</v>
      </c>
    </row>
    <row r="55" spans="2:12" ht="18.75" hidden="1" x14ac:dyDescent="0.25">
      <c r="B55" s="10"/>
      <c r="C55" s="5"/>
      <c r="D55" s="5"/>
      <c r="E55" s="25"/>
    </row>
    <row r="56" spans="2:12" ht="18.75" hidden="1" x14ac:dyDescent="0.25">
      <c r="B56" s="27" t="s">
        <v>13</v>
      </c>
      <c r="C56" s="23" t="s">
        <v>14</v>
      </c>
      <c r="D56" s="23" t="str">
        <f>CONCATENATE(B56,C56,C46)</f>
        <v xml:space="preserve"> 1/2  x 51100</v>
      </c>
      <c r="E56" s="28"/>
    </row>
    <row r="57" spans="2:12" ht="18.75" hidden="1" x14ac:dyDescent="0.25">
      <c r="B57" s="21"/>
      <c r="C57" s="23"/>
      <c r="D57" s="23"/>
      <c r="E57" s="25"/>
    </row>
    <row r="58" spans="2:12" ht="18.75" hidden="1" x14ac:dyDescent="0.25">
      <c r="B58" s="27" t="s">
        <v>17</v>
      </c>
      <c r="C58" s="23"/>
      <c r="D58" s="23" t="str">
        <f>CONCATENATE(B58,C56,E44,C56,C46)</f>
        <v xml:space="preserve"> 1/4  x 66 x 51100</v>
      </c>
      <c r="E58" s="28"/>
    </row>
    <row r="59" spans="2:12" ht="18.75" hidden="1" x14ac:dyDescent="0.25">
      <c r="B59" s="21"/>
      <c r="C59" s="23"/>
      <c r="D59" s="23"/>
      <c r="E59" s="25"/>
    </row>
    <row r="60" spans="2:12" ht="18.75" hidden="1" x14ac:dyDescent="0.25">
      <c r="B60" s="27" t="s">
        <v>19</v>
      </c>
      <c r="C60" s="23"/>
      <c r="D60" s="23" t="str">
        <f>CONCATENATE(C46,C56,B60)</f>
        <v xml:space="preserve">51100 x 30% </v>
      </c>
      <c r="E60" s="28"/>
    </row>
    <row r="61" spans="2:12" hidden="1" x14ac:dyDescent="0.25">
      <c r="B61" s="29"/>
      <c r="C61" s="30"/>
      <c r="D61" s="30"/>
      <c r="E61" s="31"/>
    </row>
    <row r="62" spans="2:12" hidden="1" x14ac:dyDescent="0.25">
      <c r="B62" s="2" t="s">
        <v>22</v>
      </c>
    </row>
    <row r="63" spans="2:12" hidden="1" x14ac:dyDescent="0.25"/>
    <row r="64" spans="2:12" hidden="1" x14ac:dyDescent="0.25"/>
    <row r="65" spans="1:2" hidden="1" x14ac:dyDescent="0.25"/>
    <row r="66" spans="1:2" hidden="1" x14ac:dyDescent="0.25">
      <c r="A66" s="2" t="s">
        <v>62</v>
      </c>
    </row>
    <row r="67" spans="1:2" hidden="1" x14ac:dyDescent="0.25">
      <c r="B67" s="2" t="s">
        <v>63</v>
      </c>
    </row>
    <row r="68" spans="1:2" hidden="1" x14ac:dyDescent="0.25">
      <c r="B68" s="2" t="s">
        <v>64</v>
      </c>
    </row>
    <row r="69" spans="1:2" hidden="1" x14ac:dyDescent="0.25">
      <c r="B69" s="2" t="s">
        <v>65</v>
      </c>
    </row>
    <row r="70" spans="1:2" hidden="1" x14ac:dyDescent="0.25"/>
    <row r="71" spans="1:2" hidden="1" x14ac:dyDescent="0.25"/>
    <row r="72" spans="1:2" hidden="1" x14ac:dyDescent="0.25"/>
    <row r="73" spans="1:2" hidden="1" x14ac:dyDescent="0.25"/>
    <row r="74" spans="1:2" hidden="1" x14ac:dyDescent="0.25"/>
    <row r="75" spans="1:2" hidden="1" x14ac:dyDescent="0.25"/>
    <row r="76" spans="1:2" hidden="1" x14ac:dyDescent="0.25"/>
    <row r="77" spans="1:2" hidden="1" x14ac:dyDescent="0.25"/>
    <row r="78" spans="1:2" hidden="1" x14ac:dyDescent="0.25"/>
    <row r="79" spans="1:2" hidden="1" x14ac:dyDescent="0.25"/>
    <row r="80" spans="1: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</sheetData>
  <dataConsolidate/>
  <mergeCells count="25">
    <mergeCell ref="A26:E26"/>
    <mergeCell ref="C19:E19"/>
    <mergeCell ref="C20:E20"/>
    <mergeCell ref="C21:E21"/>
    <mergeCell ref="A22:E22"/>
    <mergeCell ref="C23:D23"/>
    <mergeCell ref="C24:D24"/>
    <mergeCell ref="A18:E18"/>
    <mergeCell ref="D7:E7"/>
    <mergeCell ref="D8:E8"/>
    <mergeCell ref="D9:E9"/>
    <mergeCell ref="A10:E10"/>
    <mergeCell ref="C11:E11"/>
    <mergeCell ref="C12:E12"/>
    <mergeCell ref="C13:E13"/>
    <mergeCell ref="A14:E14"/>
    <mergeCell ref="C15:E15"/>
    <mergeCell ref="C16:E16"/>
    <mergeCell ref="C17:E17"/>
    <mergeCell ref="D6:E6"/>
    <mergeCell ref="B1:E1"/>
    <mergeCell ref="D2:E2"/>
    <mergeCell ref="D3:E3"/>
    <mergeCell ref="D4:E4"/>
    <mergeCell ref="D5:E5"/>
  </mergeCells>
  <dataValidations count="1">
    <dataValidation type="list" allowBlank="1" showInputMessage="1" showErrorMessage="1" sqref="C11">
      <formula1>$I$7:$I$18</formula1>
    </dataValidation>
  </dataValidations>
  <hyperlinks>
    <hyperlink ref="B30" r:id="rId1"/>
  </hyperlinks>
  <pageMargins left="0.70866141732283472" right="0.70866141732283472" top="0.74803149606299213" bottom="0.74803149606299213" header="0.31496062992125984" footer="0.31496062992125984"/>
  <pageSetup paperSize="9" scale="120" orientation="portrait" r:id="rId2"/>
  <rowBreaks count="1" manualBreakCount="1">
    <brk id="35" max="16383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5"/>
  <sheetViews>
    <sheetView view="pageBreakPreview" zoomScale="220" zoomScaleNormal="100" zoomScaleSheetLayoutView="220" workbookViewId="0">
      <selection activeCell="B5" sqref="B5"/>
    </sheetView>
  </sheetViews>
  <sheetFormatPr defaultRowHeight="15" x14ac:dyDescent="0.25"/>
  <cols>
    <col min="1" max="1" width="3.140625" style="2" customWidth="1"/>
    <col min="2" max="2" width="36.7109375" style="2" customWidth="1"/>
    <col min="3" max="3" width="2.5703125" style="2" customWidth="1"/>
    <col min="4" max="4" width="14.42578125" style="2" customWidth="1"/>
    <col min="5" max="5" width="12" style="2" customWidth="1"/>
    <col min="6" max="6" width="37.28515625" style="5" customWidth="1"/>
    <col min="7" max="7" width="13.5703125" style="5" customWidth="1"/>
    <col min="8" max="8" width="22.42578125" style="5" customWidth="1"/>
    <col min="9" max="9" width="9.140625" style="2" customWidth="1"/>
    <col min="10" max="10" width="23.7109375" style="2" customWidth="1"/>
    <col min="11" max="11" width="9.140625" style="2"/>
    <col min="12" max="12" width="41.28515625" style="2" customWidth="1"/>
    <col min="13" max="16384" width="9.140625" style="2"/>
  </cols>
  <sheetData>
    <row r="1" spans="1:9" ht="16.5" thickTop="1" thickBot="1" x14ac:dyDescent="0.3">
      <c r="A1" s="44"/>
      <c r="B1" s="102" t="s">
        <v>69</v>
      </c>
      <c r="C1" s="102"/>
      <c r="D1" s="102"/>
      <c r="E1" s="103"/>
      <c r="F1" s="39" t="s">
        <v>48</v>
      </c>
    </row>
    <row r="2" spans="1:9" x14ac:dyDescent="0.25">
      <c r="A2" s="67">
        <v>1</v>
      </c>
      <c r="B2" s="68" t="s">
        <v>8</v>
      </c>
      <c r="C2" s="69" t="s">
        <v>23</v>
      </c>
      <c r="D2" s="104" t="str">
        <f>+'Calculation of Pension 7 pay'!D2:E2</f>
        <v>Pramod Puri</v>
      </c>
      <c r="E2" s="105"/>
    </row>
    <row r="3" spans="1:9" x14ac:dyDescent="0.25">
      <c r="A3" s="45">
        <v>2</v>
      </c>
      <c r="B3" s="46" t="s">
        <v>9</v>
      </c>
      <c r="C3" s="61" t="s">
        <v>23</v>
      </c>
      <c r="D3" s="106" t="str">
        <f>+'Calculation of Pension 7 pay'!D3</f>
        <v>Senior Clerk</v>
      </c>
      <c r="E3" s="107"/>
    </row>
    <row r="4" spans="1:9" x14ac:dyDescent="0.25">
      <c r="A4" s="70">
        <v>3</v>
      </c>
      <c r="B4" s="71" t="s">
        <v>24</v>
      </c>
      <c r="C4" s="69" t="s">
        <v>23</v>
      </c>
      <c r="D4" s="108">
        <f>+'Calculation of Pension 7 pay'!D4</f>
        <v>51100</v>
      </c>
      <c r="E4" s="109"/>
    </row>
    <row r="5" spans="1:9" x14ac:dyDescent="0.25">
      <c r="A5" s="45">
        <v>4</v>
      </c>
      <c r="B5" s="46" t="s">
        <v>25</v>
      </c>
      <c r="C5" s="61" t="s">
        <v>23</v>
      </c>
      <c r="D5" s="106">
        <v>0</v>
      </c>
      <c r="E5" s="107"/>
    </row>
    <row r="6" spans="1:9" x14ac:dyDescent="0.25">
      <c r="A6" s="70">
        <v>5</v>
      </c>
      <c r="B6" s="71" t="s">
        <v>11</v>
      </c>
      <c r="C6" s="69" t="s">
        <v>23</v>
      </c>
      <c r="D6" s="100">
        <f>+'Calculation of Pension 7 pay'!D6</f>
        <v>21551</v>
      </c>
      <c r="E6" s="101"/>
    </row>
    <row r="7" spans="1:9" x14ac:dyDescent="0.25">
      <c r="A7" s="45">
        <v>6</v>
      </c>
      <c r="B7" s="46" t="s">
        <v>10</v>
      </c>
      <c r="C7" s="61" t="s">
        <v>23</v>
      </c>
      <c r="D7" s="113">
        <f>+'Calculation of Pension 7 pay'!D7</f>
        <v>29715</v>
      </c>
      <c r="E7" s="114"/>
      <c r="H7" s="38" t="s">
        <v>26</v>
      </c>
      <c r="I7" s="34">
        <v>8.8079999999999998</v>
      </c>
    </row>
    <row r="8" spans="1:9" x14ac:dyDescent="0.25">
      <c r="A8" s="70">
        <v>7</v>
      </c>
      <c r="B8" s="71" t="s">
        <v>21</v>
      </c>
      <c r="C8" s="69" t="s">
        <v>23</v>
      </c>
      <c r="D8" s="100">
        <f>+'Calculation of Pension 7 pay'!D8</f>
        <v>42735</v>
      </c>
      <c r="E8" s="101"/>
      <c r="H8" s="38"/>
      <c r="I8" s="34"/>
    </row>
    <row r="9" spans="1:9" ht="15.75" thickBot="1" x14ac:dyDescent="0.3">
      <c r="A9" s="48">
        <v>8</v>
      </c>
      <c r="B9" s="49" t="s">
        <v>38</v>
      </c>
      <c r="C9" s="61" t="s">
        <v>23</v>
      </c>
      <c r="D9" s="115" t="str">
        <f>+C38</f>
        <v>35 years, 7 months, 22 days</v>
      </c>
      <c r="E9" s="116"/>
      <c r="H9" s="38" t="s">
        <v>30</v>
      </c>
      <c r="I9" s="34">
        <v>8.7080000000000002</v>
      </c>
    </row>
    <row r="10" spans="1:9" ht="15.75" thickBot="1" x14ac:dyDescent="0.3">
      <c r="A10" s="117" t="s">
        <v>0</v>
      </c>
      <c r="B10" s="118"/>
      <c r="C10" s="119"/>
      <c r="D10" s="118"/>
      <c r="E10" s="120"/>
      <c r="F10" s="36"/>
      <c r="H10" s="38" t="s">
        <v>31</v>
      </c>
      <c r="I10" s="34">
        <v>8.7240000000000002</v>
      </c>
    </row>
    <row r="11" spans="1:9" x14ac:dyDescent="0.25">
      <c r="A11" s="67">
        <v>9</v>
      </c>
      <c r="B11" s="72" t="s">
        <v>1</v>
      </c>
      <c r="C11" s="121">
        <v>8.3710000000000004</v>
      </c>
      <c r="D11" s="121"/>
      <c r="E11" s="122"/>
      <c r="H11" s="38" t="s">
        <v>29</v>
      </c>
      <c r="I11" s="34">
        <v>8.6780000000000008</v>
      </c>
    </row>
    <row r="12" spans="1:9" x14ac:dyDescent="0.25">
      <c r="A12" s="45">
        <v>10</v>
      </c>
      <c r="B12" s="50" t="s">
        <v>2</v>
      </c>
      <c r="C12" s="123">
        <f>+'Calculation of Pension 6 pay'!C12:E12</f>
        <v>3134</v>
      </c>
      <c r="D12" s="123"/>
      <c r="E12" s="124"/>
      <c r="H12" s="38" t="s">
        <v>32</v>
      </c>
      <c r="I12" s="34">
        <v>8.6270000000000007</v>
      </c>
    </row>
    <row r="13" spans="1:9" ht="15.75" thickBot="1" x14ac:dyDescent="0.3">
      <c r="A13" s="73">
        <v>11</v>
      </c>
      <c r="B13" s="99" t="s">
        <v>0</v>
      </c>
      <c r="C13" s="125">
        <f>+'Calculation of Pension 6 pay'!C13:E13</f>
        <v>314817</v>
      </c>
      <c r="D13" s="125"/>
      <c r="E13" s="126"/>
      <c r="H13" s="38" t="s">
        <v>33</v>
      </c>
      <c r="I13" s="34">
        <v>8.5719999999999992</v>
      </c>
    </row>
    <row r="14" spans="1:9" ht="15.75" thickBot="1" x14ac:dyDescent="0.3">
      <c r="A14" s="117" t="s">
        <v>3</v>
      </c>
      <c r="B14" s="118"/>
      <c r="C14" s="118"/>
      <c r="D14" s="118"/>
      <c r="E14" s="120"/>
      <c r="H14" s="38" t="s">
        <v>34</v>
      </c>
      <c r="I14" s="34">
        <v>8.5120000000000005</v>
      </c>
    </row>
    <row r="15" spans="1:9" x14ac:dyDescent="0.25">
      <c r="A15" s="67">
        <v>12</v>
      </c>
      <c r="B15" s="72" t="s">
        <v>4</v>
      </c>
      <c r="C15" s="127">
        <f>+'Calculation of Pension 7 pay'!C15</f>
        <v>25550</v>
      </c>
      <c r="D15" s="127"/>
      <c r="E15" s="128"/>
      <c r="H15" s="38" t="s">
        <v>35</v>
      </c>
      <c r="I15" s="34">
        <v>8.4459999999999997</v>
      </c>
    </row>
    <row r="16" spans="1:9" x14ac:dyDescent="0.25">
      <c r="A16" s="45">
        <v>13</v>
      </c>
      <c r="B16" s="50" t="s">
        <v>2</v>
      </c>
      <c r="C16" s="123">
        <f>+'Calculation of Pension 6 pay'!C16:E16</f>
        <v>3134</v>
      </c>
      <c r="D16" s="123"/>
      <c r="E16" s="124"/>
      <c r="H16" s="40" t="s">
        <v>28</v>
      </c>
      <c r="I16" s="41">
        <v>8.3710000000000004</v>
      </c>
    </row>
    <row r="17" spans="1:9" ht="15.75" thickBot="1" x14ac:dyDescent="0.3">
      <c r="A17" s="73">
        <v>14</v>
      </c>
      <c r="B17" s="74" t="s">
        <v>39</v>
      </c>
      <c r="C17" s="129">
        <f>+C15-C16</f>
        <v>22416</v>
      </c>
      <c r="D17" s="129"/>
      <c r="E17" s="130"/>
      <c r="F17" s="35"/>
      <c r="H17" s="38" t="s">
        <v>36</v>
      </c>
      <c r="I17" s="34">
        <v>8.2870000000000008</v>
      </c>
    </row>
    <row r="18" spans="1:9" x14ac:dyDescent="0.25">
      <c r="A18" s="110" t="s">
        <v>5</v>
      </c>
      <c r="B18" s="111"/>
      <c r="C18" s="111"/>
      <c r="D18" s="111"/>
      <c r="E18" s="112"/>
      <c r="F18" s="35"/>
      <c r="H18" s="40" t="s">
        <v>27</v>
      </c>
      <c r="I18" s="41">
        <v>8.1940000000000008</v>
      </c>
    </row>
    <row r="19" spans="1:9" x14ac:dyDescent="0.25">
      <c r="A19" s="70">
        <v>15</v>
      </c>
      <c r="B19" s="75" t="s">
        <v>6</v>
      </c>
      <c r="C19" s="131">
        <f>+'Calculation of Pension 7 pay'!C21-'Calculation of Pension 6 pay'!C21</f>
        <v>584595</v>
      </c>
      <c r="D19" s="131"/>
      <c r="E19" s="132"/>
    </row>
    <row r="20" spans="1:9" ht="19.5" customHeight="1" x14ac:dyDescent="0.25">
      <c r="A20" s="45">
        <v>16</v>
      </c>
      <c r="B20" s="50" t="s">
        <v>66</v>
      </c>
      <c r="C20" s="133">
        <v>0</v>
      </c>
      <c r="D20" s="133"/>
      <c r="E20" s="134"/>
    </row>
    <row r="21" spans="1:9" ht="15.75" thickBot="1" x14ac:dyDescent="0.3">
      <c r="A21" s="48">
        <v>17</v>
      </c>
      <c r="B21" s="51" t="s">
        <v>40</v>
      </c>
      <c r="C21" s="135">
        <f>IF(C19&gt;1400000,1400000,C19)</f>
        <v>584595</v>
      </c>
      <c r="D21" s="135"/>
      <c r="E21" s="136"/>
    </row>
    <row r="22" spans="1:9" ht="15.75" thickBot="1" x14ac:dyDescent="0.3">
      <c r="A22" s="117" t="s">
        <v>7</v>
      </c>
      <c r="B22" s="118"/>
      <c r="C22" s="118"/>
      <c r="D22" s="118"/>
      <c r="E22" s="120"/>
    </row>
    <row r="23" spans="1:9" ht="45" hidden="1" x14ac:dyDescent="0.25">
      <c r="A23" s="67">
        <v>18</v>
      </c>
      <c r="B23" s="72" t="s">
        <v>49</v>
      </c>
      <c r="C23" s="137">
        <f>+D6+23740</f>
        <v>45291</v>
      </c>
      <c r="D23" s="137"/>
      <c r="E23" s="76">
        <f>+C47</f>
        <v>25550</v>
      </c>
    </row>
    <row r="24" spans="1:9" ht="45.75" hidden="1" thickBot="1" x14ac:dyDescent="0.3">
      <c r="A24" s="48">
        <v>19</v>
      </c>
      <c r="B24" s="52" t="s">
        <v>50</v>
      </c>
      <c r="C24" s="138">
        <f>+C23+1</f>
        <v>45292</v>
      </c>
      <c r="D24" s="138"/>
      <c r="E24" s="53">
        <f>+C51</f>
        <v>15330</v>
      </c>
    </row>
    <row r="25" spans="1:9" ht="13.5" customHeight="1" thickBot="1" x14ac:dyDescent="0.3">
      <c r="A25" s="73"/>
      <c r="B25" s="77" t="s">
        <v>37</v>
      </c>
      <c r="C25" s="78"/>
      <c r="D25" s="95">
        <v>0.17</v>
      </c>
      <c r="E25" s="80">
        <f>+C15*D25</f>
        <v>4343.5</v>
      </c>
    </row>
    <row r="26" spans="1:9" ht="15.75" thickBot="1" x14ac:dyDescent="0.3">
      <c r="A26" s="117" t="s">
        <v>45</v>
      </c>
      <c r="B26" s="118"/>
      <c r="C26" s="118"/>
      <c r="D26" s="118"/>
      <c r="E26" s="120"/>
    </row>
    <row r="27" spans="1:9" ht="15.75" thickBot="1" x14ac:dyDescent="0.3">
      <c r="A27" s="55" t="s">
        <v>51</v>
      </c>
      <c r="B27" s="56" t="s">
        <v>47</v>
      </c>
      <c r="C27" s="57"/>
      <c r="D27" s="98">
        <f>+C15+E25-C16</f>
        <v>26759.5</v>
      </c>
      <c r="E27" s="97">
        <f>+D27-'Calculation of Pension 7 pay'!D27</f>
        <v>7086</v>
      </c>
    </row>
    <row r="28" spans="1:9" hidden="1" x14ac:dyDescent="0.25">
      <c r="A28" s="81" t="s">
        <v>52</v>
      </c>
      <c r="B28" s="82" t="s">
        <v>41</v>
      </c>
      <c r="C28" s="83" t="s">
        <v>23</v>
      </c>
      <c r="D28" s="84">
        <f>+'Calculation of Pension 7 pay'!D28-'Calculation of Pension 6 pay'!D28</f>
        <v>234326</v>
      </c>
      <c r="E28" s="96">
        <v>300</v>
      </c>
    </row>
    <row r="29" spans="1:9" hidden="1" x14ac:dyDescent="0.25">
      <c r="A29" s="60" t="s">
        <v>53</v>
      </c>
      <c r="B29" s="61" t="s">
        <v>42</v>
      </c>
      <c r="C29" s="47" t="s">
        <v>23</v>
      </c>
      <c r="D29" s="62"/>
      <c r="E29" s="63" t="s">
        <v>61</v>
      </c>
    </row>
    <row r="30" spans="1:9" hidden="1" x14ac:dyDescent="0.25">
      <c r="A30" s="86" t="s">
        <v>54</v>
      </c>
      <c r="B30" s="87" t="s">
        <v>43</v>
      </c>
      <c r="C30" s="83" t="s">
        <v>23</v>
      </c>
      <c r="D30" s="88"/>
      <c r="E30" s="89" t="s">
        <v>61</v>
      </c>
    </row>
    <row r="31" spans="1:9" ht="30" hidden="1" x14ac:dyDescent="0.25">
      <c r="A31" s="60" t="s">
        <v>55</v>
      </c>
      <c r="B31" s="50" t="s">
        <v>59</v>
      </c>
      <c r="C31" s="47" t="s">
        <v>23</v>
      </c>
      <c r="D31" s="62"/>
      <c r="E31" s="63" t="s">
        <v>61</v>
      </c>
    </row>
    <row r="32" spans="1:9" hidden="1" x14ac:dyDescent="0.25">
      <c r="A32" s="86" t="s">
        <v>56</v>
      </c>
      <c r="B32" s="90" t="s">
        <v>0</v>
      </c>
      <c r="C32" s="83" t="s">
        <v>23</v>
      </c>
      <c r="D32" s="88">
        <v>0</v>
      </c>
      <c r="E32" s="89" t="s">
        <v>60</v>
      </c>
    </row>
    <row r="33" spans="1:12" ht="15.75" hidden="1" thickBot="1" x14ac:dyDescent="0.3">
      <c r="A33" s="64" t="s">
        <v>57</v>
      </c>
      <c r="B33" s="54" t="s">
        <v>5</v>
      </c>
      <c r="C33" s="47" t="s">
        <v>23</v>
      </c>
      <c r="D33" s="65">
        <f>+C21</f>
        <v>584595</v>
      </c>
      <c r="E33" s="66" t="s">
        <v>61</v>
      </c>
    </row>
    <row r="34" spans="1:12" ht="15.75" hidden="1" thickBot="1" x14ac:dyDescent="0.3">
      <c r="A34" s="91" t="s">
        <v>58</v>
      </c>
      <c r="B34" s="92" t="s">
        <v>44</v>
      </c>
      <c r="C34" s="92"/>
      <c r="D34" s="93">
        <f>+D28+D29+D30+D31+D32+D33</f>
        <v>818921</v>
      </c>
      <c r="E34" s="94"/>
    </row>
    <row r="35" spans="1:12" hidden="1" x14ac:dyDescent="0.25"/>
    <row r="36" spans="1:12" s="37" customFormat="1" hidden="1" x14ac:dyDescent="0.25">
      <c r="F36" s="36"/>
      <c r="G36" s="36"/>
      <c r="H36" s="36"/>
    </row>
    <row r="37" spans="1:12" hidden="1" x14ac:dyDescent="0.25"/>
    <row r="38" spans="1:12" ht="18" hidden="1" x14ac:dyDescent="0.25">
      <c r="B38" s="6"/>
      <c r="C38" s="8" t="str">
        <f>YEAR($D$8)-YEAR($D$7)-IF(OR(MONTH($D$8)&lt;MONTH($D$7),AND(MONTH($D$8)=MONTH($D$7), DAY($D$8)&lt;DAY($D$7))),1,0)&amp;" years, "&amp;MONTH($D$8)-MONTH($D$7)+IF(AND(MONTH($D$8) &lt;=MONTH($D$7),DAY($D$8)&lt;DAY($D$7)),11,IF(AND(MONTH($D$8)&lt;MONTH($D$7),DAY($D$8) &gt;=DAY($D$7)),12,IF(AND(MONTH($D$8)&gt;MONTH($D$7),DAY($D$8)&lt;DAY($D$7)),-1)))&amp;" months, "&amp;$D$8-DATE(YEAR($D$8),MONTH($D$8)-IF(DAY($D$8)&lt;DAY($D$7),1,0),DAY($D$7))&amp;" days"</f>
        <v>35 years, 7 months, 22 days</v>
      </c>
      <c r="D38" s="7"/>
      <c r="E38" s="9"/>
    </row>
    <row r="39" spans="1:12" ht="18" hidden="1" x14ac:dyDescent="0.25">
      <c r="B39" s="10"/>
      <c r="C39" s="1" t="str">
        <f>YEAR($D$8)-YEAR($D$7)-IF(OR(MONTH($D$8)&lt;MONTH($D$7),AND(MONTH($D$8)=MONTH($D$7),DAY($D$8)&lt;DAY($D$7))),1,0)&amp;" years"</f>
        <v>35 years</v>
      </c>
      <c r="D39" s="1" t="str">
        <f>MONTH($D$8)-MONTH($D$7)+IF(AND(MONTH($D$8)&lt;=MONTH($D$7),DAY($D$8)&lt;DAY($D$7)),11,IF(AND(MONTH($D$8)&lt;MONTH($D$7),DAY($D$8)&gt;=DAY($D$7)),12,IF(AND(MONTH($D$8)&gt;MONTH($D$7),DAY($D$8)&lt;DAY($D$7)),-1)))&amp;" months"</f>
        <v>7 months</v>
      </c>
      <c r="E39" s="11" t="str">
        <f>$D$8-DATE(YEAR($D$8),MONTH($D$8)-IF(DAY($D$8)&lt;DAY($D$7),1,0),DAY($D$7))&amp;" days"</f>
        <v>22 days</v>
      </c>
    </row>
    <row r="40" spans="1:12" ht="18" hidden="1" x14ac:dyDescent="0.25">
      <c r="B40" s="10"/>
      <c r="C40" s="1">
        <f>YEAR($D$8)-YEAR($D$7)-IF(OR(MONTH($D$8)&lt;MONTH($D$7),AND(MONTH($D$8)=MONTH($D$7),DAY($D$8)&lt;DAY($D$7))),1,0)</f>
        <v>35</v>
      </c>
      <c r="D40" s="1">
        <f>MONTH($D$8)-MONTH($D$7)+IF(AND(MONTH($D$8)&lt;=MONTH($D$7),DAY($D$8)&lt;DAY($D$7)),11,IF(AND(MONTH($D$8)&lt;MONTH($D$7),DAY($D$8)&gt;=DAY($D$7)),12,IF(AND(MONTH($D$8)&gt;MONTH($D$7),DAY($D$8)&lt;DAY($D$7)),-1)))</f>
        <v>7</v>
      </c>
      <c r="E40" s="11">
        <f>$D$8-DATE(YEAR($D$8),MONTH($D$8)-IF(DAY($D$8)&lt;DAY($D$7),1,0),DAY($D$7))</f>
        <v>22</v>
      </c>
    </row>
    <row r="41" spans="1:12" ht="21" hidden="1" x14ac:dyDescent="0.35">
      <c r="B41" s="10"/>
      <c r="C41" s="12">
        <f>+C40</f>
        <v>35</v>
      </c>
      <c r="D41" s="12">
        <f>+D40</f>
        <v>7</v>
      </c>
      <c r="E41" s="13">
        <f>+E40</f>
        <v>22</v>
      </c>
      <c r="G41" s="42">
        <v>0</v>
      </c>
      <c r="H41" s="42">
        <v>0</v>
      </c>
    </row>
    <row r="42" spans="1:12" ht="21" hidden="1" x14ac:dyDescent="0.35">
      <c r="B42" s="10"/>
      <c r="C42" s="14">
        <f>C41*2</f>
        <v>70</v>
      </c>
      <c r="D42" s="15">
        <f>D41</f>
        <v>7</v>
      </c>
      <c r="E42" s="16">
        <v>0</v>
      </c>
      <c r="G42" s="42">
        <v>3</v>
      </c>
      <c r="H42" s="42">
        <v>1</v>
      </c>
    </row>
    <row r="43" spans="1:12" ht="21" hidden="1" x14ac:dyDescent="0.35">
      <c r="B43" s="10"/>
      <c r="C43" s="15">
        <f>IF(C42&lt;67,C42,66)</f>
        <v>66</v>
      </c>
      <c r="D43" s="43">
        <f>VLOOKUP(D42,G41:H46,2)</f>
        <v>2</v>
      </c>
      <c r="E43" s="16">
        <f>D43+C43</f>
        <v>68</v>
      </c>
      <c r="G43" s="42">
        <v>6</v>
      </c>
      <c r="H43" s="42">
        <v>2</v>
      </c>
    </row>
    <row r="44" spans="1:12" ht="21" hidden="1" x14ac:dyDescent="0.25">
      <c r="B44" s="10"/>
      <c r="C44" s="17"/>
      <c r="D44" s="18"/>
      <c r="E44" s="19">
        <f>IF(E43&lt;67,E43,66)</f>
        <v>66</v>
      </c>
      <c r="K44" s="4"/>
      <c r="L44" s="4"/>
    </row>
    <row r="45" spans="1:12" ht="18.75" hidden="1" x14ac:dyDescent="0.25">
      <c r="B45" s="10"/>
      <c r="C45" s="5"/>
      <c r="D45" s="5"/>
      <c r="E45" s="20"/>
      <c r="H45" s="23"/>
      <c r="I45" s="3"/>
      <c r="K45" s="3"/>
      <c r="L45" s="3"/>
    </row>
    <row r="46" spans="1:12" ht="18.75" hidden="1" x14ac:dyDescent="0.25">
      <c r="B46" s="10"/>
      <c r="C46" s="5">
        <f>+D4+D5</f>
        <v>51100</v>
      </c>
      <c r="D46" s="32"/>
      <c r="E46" s="33"/>
      <c r="H46" s="23"/>
      <c r="I46" s="3"/>
      <c r="K46" s="4"/>
      <c r="L46" s="4"/>
    </row>
    <row r="47" spans="1:12" ht="18.75" hidden="1" x14ac:dyDescent="0.25">
      <c r="B47" s="21" t="s">
        <v>12</v>
      </c>
      <c r="C47" s="22">
        <f>ROUND(C46/2,0)</f>
        <v>25550</v>
      </c>
      <c r="D47" s="23"/>
      <c r="E47" s="33"/>
      <c r="H47" s="23"/>
      <c r="I47" s="3"/>
      <c r="K47" s="3"/>
      <c r="L47" s="3"/>
    </row>
    <row r="48" spans="1:12" ht="18.75" hidden="1" x14ac:dyDescent="0.25">
      <c r="B48" s="21"/>
      <c r="C48" s="24"/>
      <c r="D48" s="23"/>
      <c r="E48" s="20"/>
      <c r="K48" s="4"/>
      <c r="L48" s="4"/>
    </row>
    <row r="49" spans="2:12" ht="18.75" hidden="1" x14ac:dyDescent="0.25">
      <c r="B49" s="21" t="s">
        <v>15</v>
      </c>
      <c r="C49" s="22">
        <f>ROUND(C46/4*E44,0)</f>
        <v>843150</v>
      </c>
      <c r="D49" s="23" t="s">
        <v>16</v>
      </c>
      <c r="E49" s="20"/>
      <c r="F49" s="23"/>
      <c r="G49" s="23"/>
      <c r="J49" s="3"/>
      <c r="K49" s="3"/>
      <c r="L49" s="3"/>
    </row>
    <row r="50" spans="2:12" ht="18.75" hidden="1" x14ac:dyDescent="0.25">
      <c r="B50" s="21"/>
      <c r="C50" s="24"/>
      <c r="D50" s="23"/>
      <c r="E50" s="20"/>
      <c r="F50" s="23"/>
      <c r="G50" s="23"/>
      <c r="J50" s="3"/>
      <c r="K50" s="3"/>
      <c r="L50" s="3"/>
    </row>
    <row r="51" spans="2:12" ht="18.75" hidden="1" x14ac:dyDescent="0.25">
      <c r="B51" s="21" t="s">
        <v>18</v>
      </c>
      <c r="C51" s="22">
        <f>ROUND(C46*30%,0)</f>
        <v>15330</v>
      </c>
      <c r="D51" s="23"/>
      <c r="E51" s="20"/>
      <c r="F51" s="23"/>
      <c r="J51" s="3"/>
      <c r="K51" s="3"/>
      <c r="L51" s="3"/>
    </row>
    <row r="52" spans="2:12" ht="18.75" hidden="1" x14ac:dyDescent="0.25">
      <c r="B52" s="21"/>
      <c r="C52" s="24"/>
      <c r="D52" s="23"/>
      <c r="E52" s="20"/>
    </row>
    <row r="53" spans="2:12" ht="18.75" hidden="1" x14ac:dyDescent="0.25">
      <c r="B53" s="21" t="s">
        <v>20</v>
      </c>
      <c r="C53" s="22">
        <f>ROUND(C47*40%,0)</f>
        <v>10220</v>
      </c>
      <c r="D53" s="23"/>
      <c r="E53" s="25">
        <f>+C11</f>
        <v>8.3710000000000004</v>
      </c>
    </row>
    <row r="54" spans="2:12" ht="18.75" hidden="1" x14ac:dyDescent="0.25">
      <c r="B54" s="10"/>
      <c r="C54" s="22">
        <f>ROUND(C53*E53*12,0)</f>
        <v>1026619</v>
      </c>
      <c r="D54" s="23"/>
      <c r="E54" s="26">
        <f>C47-C53</f>
        <v>15330</v>
      </c>
    </row>
    <row r="55" spans="2:12" ht="18.75" hidden="1" x14ac:dyDescent="0.25">
      <c r="B55" s="10"/>
      <c r="C55" s="5"/>
      <c r="D55" s="5"/>
      <c r="E55" s="25"/>
    </row>
    <row r="56" spans="2:12" ht="18.75" hidden="1" x14ac:dyDescent="0.25">
      <c r="B56" s="27" t="s">
        <v>13</v>
      </c>
      <c r="C56" s="23" t="s">
        <v>14</v>
      </c>
      <c r="D56" s="23" t="str">
        <f>CONCATENATE(B56,C56,C46)</f>
        <v xml:space="preserve"> 1/2  x 51100</v>
      </c>
      <c r="E56" s="28"/>
    </row>
    <row r="57" spans="2:12" ht="18.75" hidden="1" x14ac:dyDescent="0.25">
      <c r="B57" s="21"/>
      <c r="C57" s="23"/>
      <c r="D57" s="23"/>
      <c r="E57" s="25"/>
    </row>
    <row r="58" spans="2:12" ht="18.75" hidden="1" x14ac:dyDescent="0.25">
      <c r="B58" s="27" t="s">
        <v>17</v>
      </c>
      <c r="C58" s="23"/>
      <c r="D58" s="23" t="str">
        <f>CONCATENATE(B58,C56,E44,C56,C46)</f>
        <v xml:space="preserve"> 1/4  x 66 x 51100</v>
      </c>
      <c r="E58" s="28"/>
    </row>
    <row r="59" spans="2:12" ht="18.75" hidden="1" x14ac:dyDescent="0.25">
      <c r="B59" s="21"/>
      <c r="C59" s="23"/>
      <c r="D59" s="23"/>
      <c r="E59" s="25"/>
    </row>
    <row r="60" spans="2:12" ht="18.75" hidden="1" x14ac:dyDescent="0.25">
      <c r="B60" s="27" t="s">
        <v>19</v>
      </c>
      <c r="C60" s="23"/>
      <c r="D60" s="23" t="str">
        <f>CONCATENATE(C46,C56,B60)</f>
        <v xml:space="preserve">51100 x 30% </v>
      </c>
      <c r="E60" s="28"/>
    </row>
    <row r="61" spans="2:12" hidden="1" x14ac:dyDescent="0.25">
      <c r="B61" s="29"/>
      <c r="C61" s="30"/>
      <c r="D61" s="30"/>
      <c r="E61" s="31"/>
    </row>
    <row r="62" spans="2:12" hidden="1" x14ac:dyDescent="0.25">
      <c r="B62" s="2" t="s">
        <v>22</v>
      </c>
    </row>
    <row r="63" spans="2:12" hidden="1" x14ac:dyDescent="0.25"/>
    <row r="64" spans="2:12" hidden="1" x14ac:dyDescent="0.25"/>
    <row r="65" spans="1:2" hidden="1" x14ac:dyDescent="0.25"/>
    <row r="66" spans="1:2" hidden="1" x14ac:dyDescent="0.25">
      <c r="A66" s="2" t="s">
        <v>62</v>
      </c>
    </row>
    <row r="67" spans="1:2" hidden="1" x14ac:dyDescent="0.25">
      <c r="B67" s="2" t="s">
        <v>63</v>
      </c>
    </row>
    <row r="68" spans="1:2" hidden="1" x14ac:dyDescent="0.25">
      <c r="B68" s="2" t="s">
        <v>64</v>
      </c>
    </row>
    <row r="69" spans="1:2" hidden="1" x14ac:dyDescent="0.25">
      <c r="B69" s="2" t="s">
        <v>65</v>
      </c>
    </row>
    <row r="70" spans="1:2" hidden="1" x14ac:dyDescent="0.25"/>
    <row r="71" spans="1:2" hidden="1" x14ac:dyDescent="0.25"/>
    <row r="72" spans="1:2" hidden="1" x14ac:dyDescent="0.25"/>
    <row r="73" spans="1:2" hidden="1" x14ac:dyDescent="0.25"/>
    <row r="74" spans="1:2" hidden="1" x14ac:dyDescent="0.25"/>
    <row r="75" spans="1:2" hidden="1" x14ac:dyDescent="0.25"/>
    <row r="76" spans="1:2" hidden="1" x14ac:dyDescent="0.25"/>
    <row r="77" spans="1:2" hidden="1" x14ac:dyDescent="0.25"/>
    <row r="78" spans="1:2" hidden="1" x14ac:dyDescent="0.25"/>
    <row r="79" spans="1:2" hidden="1" x14ac:dyDescent="0.25"/>
    <row r="80" spans="1: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</sheetData>
  <dataConsolidate/>
  <mergeCells count="25">
    <mergeCell ref="A26:E26"/>
    <mergeCell ref="C19:E19"/>
    <mergeCell ref="C20:E20"/>
    <mergeCell ref="C21:E21"/>
    <mergeCell ref="A22:E22"/>
    <mergeCell ref="C23:D23"/>
    <mergeCell ref="C24:D24"/>
    <mergeCell ref="C13:E13"/>
    <mergeCell ref="A14:E14"/>
    <mergeCell ref="C15:E15"/>
    <mergeCell ref="C16:E16"/>
    <mergeCell ref="C17:E17"/>
    <mergeCell ref="A18:E18"/>
    <mergeCell ref="D7:E7"/>
    <mergeCell ref="D8:E8"/>
    <mergeCell ref="D9:E9"/>
    <mergeCell ref="A10:E10"/>
    <mergeCell ref="C11:E11"/>
    <mergeCell ref="C12:E12"/>
    <mergeCell ref="B1:E1"/>
    <mergeCell ref="D2:E2"/>
    <mergeCell ref="D3:E3"/>
    <mergeCell ref="D4:E4"/>
    <mergeCell ref="D5:E5"/>
    <mergeCell ref="D6:E6"/>
  </mergeCells>
  <dataValidations count="1">
    <dataValidation type="list" allowBlank="1" showInputMessage="1" showErrorMessage="1" sqref="C11">
      <formula1>$I$7:$I$18</formula1>
    </dataValidation>
  </dataValidations>
  <hyperlinks>
    <hyperlink ref="B30" r:id="rId1"/>
  </hyperlinks>
  <pageMargins left="0.70866141732283472" right="0.70866141732283472" top="0.74803149606299213" bottom="0.74803149606299213" header="0.31496062992125984" footer="0.31496062992125984"/>
  <pageSetup paperSize="9" scale="120" orientation="portrait" r:id="rId2"/>
  <rowBreaks count="1" manualBreakCount="1">
    <brk id="35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Calculation of Pension 6 pay</vt:lpstr>
      <vt:lpstr>Calculation of Pension 7 pay</vt:lpstr>
      <vt:lpstr>Calculation of Pension Diff</vt:lpstr>
      <vt:lpstr>7pay Commuted difftance</vt:lpstr>
      <vt:lpstr>'7pay Commuted difftance'!Print_Area</vt:lpstr>
      <vt:lpstr>'Calculation of Pension 6 pay'!Print_Area</vt:lpstr>
      <vt:lpstr>'Calculation of Pension 7 pay'!Print_Area</vt:lpstr>
      <vt:lpstr>'Calculation of Pension Diff'!Print_Area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Puri</dc:creator>
  <cp:lastModifiedBy>YASH PURI</cp:lastModifiedBy>
  <cp:lastPrinted>2020-12-14T07:12:26Z</cp:lastPrinted>
  <dcterms:created xsi:type="dcterms:W3CDTF">2016-05-23T06:56:22Z</dcterms:created>
  <dcterms:modified xsi:type="dcterms:W3CDTF">2021-02-06T05:16:20Z</dcterms:modified>
</cp:coreProperties>
</file>