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uria\Downloads\"/>
    </mc:Choice>
  </mc:AlternateContent>
  <xr:revisionPtr revIDLastSave="0" documentId="13_ncr:1_{9D4C42A0-9A58-430B-86FF-ABDA7BD838C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s per 6 May 2026 GR" sheetId="12" r:id="rId1"/>
    <sheet name="ops nps rnps comparison" sheetId="15" r:id="rId2"/>
    <sheet name="8 th pay nps" sheetId="16" r:id="rId3"/>
    <sheet name="Sheet3" sheetId="17" r:id="rId4"/>
    <sheet name="Amol (2)" sheetId="13" r:id="rId5"/>
    <sheet name="Sheet2" sheetId="9" r:id="rId6"/>
    <sheet name="Amol" sheetId="8" r:id="rId7"/>
    <sheet name="kishor" sheetId="10" r:id="rId8"/>
    <sheet name="Surek" sheetId="11" r:id="rId9"/>
    <sheet name="Sahare" sheetId="7" r:id="rId10"/>
  </sheets>
  <externalReferences>
    <externalReference r:id="rId11"/>
  </externalReferences>
  <definedNames>
    <definedName name="__123Graph_D" hidden="1">'[1]COMPUTER SLIP'!#REF!</definedName>
    <definedName name="_xlnm._FilterDatabase" localSheetId="6" hidden="1">Amol!$A$10:$T$10</definedName>
    <definedName name="_xlnm._FilterDatabase" localSheetId="4" hidden="1">'Amol (2)'!$A$10:$T$10</definedName>
    <definedName name="_xlnm._FilterDatabase" localSheetId="7" hidden="1">kishor!$A$10:$T$10</definedName>
    <definedName name="_xlnm._FilterDatabase" localSheetId="9" hidden="1">Sahare!$A$10:$T$10</definedName>
    <definedName name="_xlnm._FilterDatabase" localSheetId="8" hidden="1">Surek!$A$10:$T$10</definedName>
    <definedName name="_Key1" hidden="1">#REF!</definedName>
    <definedName name="_Order1" hidden="1">255</definedName>
    <definedName name="_Sort" hidden="1">#REF!</definedName>
    <definedName name="a" hidden="1">'[1]COMPUTER SLIP'!#REF!</definedName>
    <definedName name="Beg_Bal">#REF!</definedName>
    <definedName name="Cum_Int">#REF!</definedName>
    <definedName name="Data">#REF!</definedName>
    <definedName name="End_Bal">#REF!</definedName>
    <definedName name="Extra_Pay">#REF!</definedName>
    <definedName name="Full_Print">#REF!</definedName>
    <definedName name="Header_Row">ROW(#REF!)</definedName>
    <definedName name="Int">#REF!</definedName>
    <definedName name="Interest_Rate">#REF!</definedName>
    <definedName name="Last_Row">IF([0]!Values_Entered,Header_Row+[0]!Number_of_Payments,Header_Row)</definedName>
    <definedName name="Loan_Amount">#REF!</definedName>
    <definedName name="Loan_Start">#REF!</definedName>
    <definedName name="Loan_Years">#REF!</definedName>
    <definedName name="Num_Pmt_Per_Year">#REF!</definedName>
    <definedName name="Number_of_Payments">MATCH(0.01,End_Bal,-1)+1</definedName>
    <definedName name="p" hidden="1">'[1]COMPUTER SLIP'!#REF!</definedName>
    <definedName name="Pay_Date">#REF!</definedName>
    <definedName name="Pay_Num">#REF!</definedName>
    <definedName name="Payment_Date" localSheetId="2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0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 localSheetId="8">DATE(YEAR([0]!Loan_Start),MONTH([0]!Loan_Start)+Payment_Number,DAY([0]!Loan_Start))</definedName>
    <definedName name="Payment_Date">DATE(YEAR(Loan_Start),MONTH(Loan_Start)+Payment_Number,DAY(Loan_Start))</definedName>
    <definedName name="ppp" hidden="1">'[1]COMPUTER SLIP'!#REF!</definedName>
    <definedName name="pppp" hidden="1">#REF!</definedName>
    <definedName name="Princ">#REF!</definedName>
    <definedName name="_xlnm.Print_Area" localSheetId="6">Amol!$A$1:$T$100</definedName>
    <definedName name="_xlnm.Print_Area" localSheetId="4">'Amol (2)'!$A$1:$T$100</definedName>
    <definedName name="_xlnm.Print_Area" localSheetId="0">'As per 6 May 2026 GR'!$A$1:$H$31</definedName>
    <definedName name="_xlnm.Print_Area" localSheetId="7">kishor!$A$1:$T$100</definedName>
    <definedName name="_xlnm.Print_Area" localSheetId="9">Sahare!$A$1:$T$100</definedName>
    <definedName name="_xlnm.Print_Area" localSheetId="8">Surek!$A$1:$T$100</definedName>
    <definedName name="Print_Area_Reset">OFFSET(Full_Print,0,0,Last_Row)</definedName>
    <definedName name="_xlnm.Print_Titles" localSheetId="0">'As per 6 May 2026 GR'!$2:$2</definedName>
    <definedName name="_xlnm.Print_Titles" localSheetId="5">Sheet2!$2:$2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Total_Interest">#REF!</definedName>
    <definedName name="Total_Pay">#REF!</definedName>
    <definedName name="Values_Entered">IF(Loan_Amount*Interest_Rate*Loan_Years*Loan_Start&gt;0,1,0)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15" l="1"/>
  <c r="D56" i="16"/>
  <c r="D58" i="16" s="1"/>
  <c r="D59" i="16" s="1"/>
  <c r="D60" i="16" s="1"/>
  <c r="D61" i="16" s="1"/>
  <c r="D62" i="16" s="1"/>
  <c r="D63" i="16" s="1"/>
  <c r="D64" i="16" s="1"/>
  <c r="D65" i="16" s="1"/>
  <c r="D66" i="16" s="1"/>
  <c r="D67" i="16" s="1"/>
  <c r="D68" i="16" s="1"/>
  <c r="D69" i="16" s="1"/>
  <c r="D70" i="16" s="1"/>
  <c r="D71" i="16" s="1"/>
  <c r="D72" i="16" s="1"/>
  <c r="D73" i="16" s="1"/>
  <c r="D74" i="16" s="1"/>
  <c r="D75" i="16" s="1"/>
  <c r="D5" i="16"/>
  <c r="O38" i="16"/>
  <c r="K57" i="15"/>
  <c r="J57" i="15"/>
  <c r="J58" i="15"/>
  <c r="M45" i="15"/>
  <c r="M44" i="15"/>
  <c r="R38" i="15"/>
  <c r="O38" i="15"/>
  <c r="N38" i="15"/>
  <c r="D57" i="15"/>
  <c r="R43" i="16"/>
  <c r="E44" i="16"/>
  <c r="C38" i="16"/>
  <c r="E45" i="15"/>
  <c r="D38" i="15"/>
  <c r="E46" i="15" s="1"/>
  <c r="E44" i="15"/>
  <c r="C38" i="15"/>
  <c r="B57" i="16"/>
  <c r="B57" i="15"/>
  <c r="B58" i="15" s="1"/>
  <c r="B59" i="15" s="1"/>
  <c r="B60" i="15" s="1"/>
  <c r="B61" i="15" s="1"/>
  <c r="B62" i="15" s="1"/>
  <c r="B63" i="15" s="1"/>
  <c r="B64" i="15" s="1"/>
  <c r="B65" i="15" s="1"/>
  <c r="B66" i="15" s="1"/>
  <c r="B67" i="15" s="1"/>
  <c r="B68" i="15" s="1"/>
  <c r="B69" i="15" s="1"/>
  <c r="B70" i="15" s="1"/>
  <c r="B71" i="15" s="1"/>
  <c r="B72" i="15" s="1"/>
  <c r="B73" i="15" s="1"/>
  <c r="B74" i="15" s="1"/>
  <c r="B75" i="15" s="1"/>
  <c r="C26" i="15"/>
  <c r="C27" i="15" s="1"/>
  <c r="C28" i="15" s="1"/>
  <c r="L4" i="15"/>
  <c r="O3" i="16"/>
  <c r="O3" i="15"/>
  <c r="P3" i="15" s="1"/>
  <c r="J4" i="15" s="1"/>
  <c r="C4" i="16"/>
  <c r="Q15" i="17"/>
  <c r="J22" i="17"/>
  <c r="J21" i="17"/>
  <c r="N18" i="17"/>
  <c r="C5" i="16"/>
  <c r="O23" i="17"/>
  <c r="O22" i="17"/>
  <c r="L18" i="17"/>
  <c r="J18" i="17"/>
  <c r="L17" i="17"/>
  <c r="L16" i="17"/>
  <c r="L15" i="17"/>
  <c r="L14" i="17"/>
  <c r="L13" i="17"/>
  <c r="L12" i="17"/>
  <c r="J15" i="17"/>
  <c r="J14" i="17"/>
  <c r="N12" i="17"/>
  <c r="G18" i="17"/>
  <c r="G14" i="17"/>
  <c r="G13" i="17"/>
  <c r="B58" i="16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O5" i="16"/>
  <c r="O6" i="16" s="1"/>
  <c r="O7" i="16" s="1"/>
  <c r="O8" i="16" s="1"/>
  <c r="O9" i="16" s="1"/>
  <c r="O10" i="16" s="1"/>
  <c r="O11" i="16" s="1"/>
  <c r="O12" i="16" s="1"/>
  <c r="O13" i="16" s="1"/>
  <c r="O14" i="16" s="1"/>
  <c r="O15" i="16" s="1"/>
  <c r="O16" i="16" s="1"/>
  <c r="O17" i="16" s="1"/>
  <c r="O18" i="16" s="1"/>
  <c r="O19" i="16" s="1"/>
  <c r="O20" i="16" s="1"/>
  <c r="O21" i="16" s="1"/>
  <c r="O22" i="16" s="1"/>
  <c r="O23" i="16" s="1"/>
  <c r="O24" i="16" s="1"/>
  <c r="O25" i="16" s="1"/>
  <c r="O26" i="16" s="1"/>
  <c r="O27" i="16" s="1"/>
  <c r="O28" i="16" s="1"/>
  <c r="O29" i="16" s="1"/>
  <c r="O30" i="16" s="1"/>
  <c r="O31" i="16" s="1"/>
  <c r="O32" i="16" s="1"/>
  <c r="O33" i="16" s="1"/>
  <c r="O34" i="16" s="1"/>
  <c r="O35" i="16" s="1"/>
  <c r="O36" i="16" s="1"/>
  <c r="E4" i="16"/>
  <c r="F4" i="16" s="1"/>
  <c r="H4" i="16" s="1"/>
  <c r="D5" i="15"/>
  <c r="D6" i="15" s="1"/>
  <c r="D7" i="15" s="1"/>
  <c r="D8" i="15" s="1"/>
  <c r="D52" i="13"/>
  <c r="O5" i="15"/>
  <c r="O6" i="15" s="1"/>
  <c r="O7" i="15" s="1"/>
  <c r="O8" i="15" s="1"/>
  <c r="H9" i="13"/>
  <c r="K10" i="13" s="1"/>
  <c r="G9" i="13"/>
  <c r="Q3" i="15"/>
  <c r="T11" i="8"/>
  <c r="S11" i="8"/>
  <c r="M11" i="8"/>
  <c r="L11" i="8"/>
  <c r="O10" i="8"/>
  <c r="N10" i="8"/>
  <c r="Q11" i="8"/>
  <c r="L10" i="8"/>
  <c r="K10" i="8"/>
  <c r="J10" i="8"/>
  <c r="C5" i="15"/>
  <c r="C6" i="15" s="1"/>
  <c r="C7" i="15" s="1"/>
  <c r="E4" i="15"/>
  <c r="F4" i="15" s="1"/>
  <c r="C29" i="15" l="1"/>
  <c r="E5" i="16"/>
  <c r="F5" i="16" s="1"/>
  <c r="G4" i="16"/>
  <c r="D6" i="16"/>
  <c r="Q3" i="16"/>
  <c r="K4" i="16" s="1"/>
  <c r="P3" i="16"/>
  <c r="C6" i="16"/>
  <c r="D9" i="15"/>
  <c r="D10" i="15" s="1"/>
  <c r="D11" i="15" s="1"/>
  <c r="D12" i="15" s="1"/>
  <c r="D13" i="15" s="1"/>
  <c r="D14" i="15" s="1"/>
  <c r="D15" i="15" s="1"/>
  <c r="D16" i="15" s="1"/>
  <c r="D17" i="15" s="1"/>
  <c r="D18" i="15" s="1"/>
  <c r="D19" i="15" s="1"/>
  <c r="D20" i="15" s="1"/>
  <c r="D21" i="15" s="1"/>
  <c r="D22" i="15" s="1"/>
  <c r="D23" i="15" s="1"/>
  <c r="D24" i="15" s="1"/>
  <c r="D25" i="15" s="1"/>
  <c r="D26" i="15" s="1"/>
  <c r="O9" i="15"/>
  <c r="O10" i="15" s="1"/>
  <c r="O11" i="15" s="1"/>
  <c r="O12" i="15" s="1"/>
  <c r="O13" i="15" s="1"/>
  <c r="O14" i="15" s="1"/>
  <c r="O15" i="15" s="1"/>
  <c r="O16" i="15" s="1"/>
  <c r="O17" i="15" s="1"/>
  <c r="O18" i="15" s="1"/>
  <c r="O19" i="15" s="1"/>
  <c r="O20" i="15" s="1"/>
  <c r="O21" i="15" s="1"/>
  <c r="O22" i="15" s="1"/>
  <c r="O23" i="15" s="1"/>
  <c r="O24" i="15" s="1"/>
  <c r="O25" i="15" s="1"/>
  <c r="O26" i="15" s="1"/>
  <c r="O27" i="15" s="1"/>
  <c r="O28" i="15" s="1"/>
  <c r="O29" i="15" s="1"/>
  <c r="O30" i="15" s="1"/>
  <c r="O31" i="15" s="1"/>
  <c r="O32" i="15" s="1"/>
  <c r="O33" i="15" s="1"/>
  <c r="O34" i="15" s="1"/>
  <c r="O35" i="15" s="1"/>
  <c r="O36" i="15" s="1"/>
  <c r="K4" i="15"/>
  <c r="C8" i="15"/>
  <c r="E8" i="15" s="1"/>
  <c r="F8" i="15" s="1"/>
  <c r="E7" i="15"/>
  <c r="F7" i="15" s="1"/>
  <c r="E5" i="15"/>
  <c r="F5" i="15" s="1"/>
  <c r="N11" i="8"/>
  <c r="O11" i="8" s="1"/>
  <c r="H4" i="15"/>
  <c r="G4" i="15"/>
  <c r="E6" i="15"/>
  <c r="F6" i="15" s="1"/>
  <c r="D7" i="16" l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D21" i="16" s="1"/>
  <c r="D22" i="16" s="1"/>
  <c r="D23" i="16" s="1"/>
  <c r="D24" i="16" s="1"/>
  <c r="D25" i="16" s="1"/>
  <c r="D26" i="16" s="1"/>
  <c r="D27" i="16" s="1"/>
  <c r="D28" i="16" s="1"/>
  <c r="D29" i="16" s="1"/>
  <c r="D30" i="16" s="1"/>
  <c r="D31" i="16" s="1"/>
  <c r="D32" i="16" s="1"/>
  <c r="D33" i="16" s="1"/>
  <c r="D34" i="16" s="1"/>
  <c r="D35" i="16" s="1"/>
  <c r="D36" i="16" s="1"/>
  <c r="D38" i="16"/>
  <c r="D27" i="15"/>
  <c r="E26" i="15"/>
  <c r="F26" i="15" s="1"/>
  <c r="C30" i="15"/>
  <c r="E6" i="16"/>
  <c r="F6" i="16" s="1"/>
  <c r="C7" i="16"/>
  <c r="J4" i="16"/>
  <c r="I4" i="16"/>
  <c r="H5" i="16"/>
  <c r="G5" i="16"/>
  <c r="M4" i="15"/>
  <c r="P4" i="15"/>
  <c r="Q4" i="15" s="1"/>
  <c r="R4" i="15" s="1"/>
  <c r="N4" i="15"/>
  <c r="C9" i="15"/>
  <c r="I4" i="15"/>
  <c r="H8" i="15"/>
  <c r="K8" i="15" s="1"/>
  <c r="G8" i="15"/>
  <c r="H6" i="15"/>
  <c r="K6" i="15" s="1"/>
  <c r="G6" i="15"/>
  <c r="H7" i="15"/>
  <c r="K7" i="15" s="1"/>
  <c r="G7" i="15"/>
  <c r="G5" i="15"/>
  <c r="H5" i="15"/>
  <c r="K5" i="15" s="1"/>
  <c r="E9" i="15"/>
  <c r="F9" i="15" s="1"/>
  <c r="C10" i="15"/>
  <c r="R45" i="16" l="1"/>
  <c r="E46" i="16"/>
  <c r="E47" i="16" s="1"/>
  <c r="G26" i="15"/>
  <c r="H26" i="15"/>
  <c r="K26" i="15" s="1"/>
  <c r="D28" i="15"/>
  <c r="E27" i="15"/>
  <c r="F27" i="15" s="1"/>
  <c r="C31" i="15"/>
  <c r="H6" i="16"/>
  <c r="K6" i="16" s="1"/>
  <c r="G6" i="16"/>
  <c r="L4" i="16"/>
  <c r="I5" i="16"/>
  <c r="J5" i="16"/>
  <c r="K5" i="16"/>
  <c r="C8" i="16"/>
  <c r="E7" i="16"/>
  <c r="I8" i="15"/>
  <c r="J8" i="15"/>
  <c r="L8" i="15" s="1"/>
  <c r="P8" i="15" s="1"/>
  <c r="I5" i="15"/>
  <c r="J5" i="15"/>
  <c r="I7" i="15"/>
  <c r="J7" i="15"/>
  <c r="L7" i="15" s="1"/>
  <c r="P7" i="15" s="1"/>
  <c r="J6" i="15"/>
  <c r="L6" i="15" s="1"/>
  <c r="I6" i="15"/>
  <c r="G9" i="15"/>
  <c r="H9" i="15"/>
  <c r="K9" i="15" s="1"/>
  <c r="E10" i="15"/>
  <c r="C11" i="15"/>
  <c r="L5" i="15" l="1"/>
  <c r="M5" i="15" s="1"/>
  <c r="N5" i="15" s="1"/>
  <c r="M6" i="15" s="1"/>
  <c r="G27" i="15"/>
  <c r="H27" i="15"/>
  <c r="K27" i="15" s="1"/>
  <c r="D29" i="15"/>
  <c r="E28" i="15"/>
  <c r="F28" i="15" s="1"/>
  <c r="I26" i="15"/>
  <c r="J26" i="15"/>
  <c r="L26" i="15" s="1"/>
  <c r="C32" i="15"/>
  <c r="J6" i="16"/>
  <c r="L6" i="16" s="1"/>
  <c r="I6" i="16"/>
  <c r="L5" i="16"/>
  <c r="E8" i="16"/>
  <c r="F8" i="16" s="1"/>
  <c r="C9" i="16"/>
  <c r="F7" i="16"/>
  <c r="P4" i="16"/>
  <c r="Q4" i="16" s="1"/>
  <c r="M4" i="16"/>
  <c r="N4" i="16" s="1"/>
  <c r="F10" i="15"/>
  <c r="G10" i="15" s="1"/>
  <c r="P6" i="15"/>
  <c r="J9" i="15"/>
  <c r="L9" i="15" s="1"/>
  <c r="P9" i="15" s="1"/>
  <c r="I9" i="15"/>
  <c r="E11" i="15"/>
  <c r="F11" i="15" s="1"/>
  <c r="C12" i="15"/>
  <c r="G28" i="15" l="1"/>
  <c r="H28" i="15"/>
  <c r="K28" i="15" s="1"/>
  <c r="D30" i="15"/>
  <c r="E29" i="15"/>
  <c r="F29" i="15" s="1"/>
  <c r="P26" i="15"/>
  <c r="I27" i="15"/>
  <c r="J27" i="15"/>
  <c r="L27" i="15" s="1"/>
  <c r="P5" i="15"/>
  <c r="Q5" i="15" s="1"/>
  <c r="R5" i="15" s="1"/>
  <c r="C33" i="15"/>
  <c r="H8" i="16"/>
  <c r="K8" i="16" s="1"/>
  <c r="G8" i="16"/>
  <c r="E9" i="16"/>
  <c r="F9" i="16" s="1"/>
  <c r="C10" i="16"/>
  <c r="P6" i="16"/>
  <c r="M5" i="16"/>
  <c r="P5" i="16"/>
  <c r="Q5" i="16" s="1"/>
  <c r="G7" i="16"/>
  <c r="H7" i="16"/>
  <c r="R4" i="16"/>
  <c r="H10" i="15"/>
  <c r="K10" i="15" s="1"/>
  <c r="J10" i="15"/>
  <c r="L10" i="15" s="1"/>
  <c r="P10" i="15" s="1"/>
  <c r="I10" i="15"/>
  <c r="C13" i="15"/>
  <c r="E12" i="15"/>
  <c r="F12" i="15" s="1"/>
  <c r="G11" i="15"/>
  <c r="H11" i="15"/>
  <c r="K11" i="15" s="1"/>
  <c r="G29" i="15" l="1"/>
  <c r="H29" i="15"/>
  <c r="K29" i="15" s="1"/>
  <c r="P27" i="15"/>
  <c r="D31" i="15"/>
  <c r="E30" i="15"/>
  <c r="F30" i="15" s="1"/>
  <c r="I28" i="15"/>
  <c r="J28" i="15"/>
  <c r="L28" i="15" s="1"/>
  <c r="C34" i="15"/>
  <c r="Q6" i="16"/>
  <c r="R5" i="16"/>
  <c r="E10" i="16"/>
  <c r="F10" i="16" s="1"/>
  <c r="C11" i="16"/>
  <c r="N5" i="16"/>
  <c r="H9" i="16"/>
  <c r="K9" i="16" s="1"/>
  <c r="G9" i="16"/>
  <c r="K7" i="16"/>
  <c r="J8" i="16"/>
  <c r="L8" i="16" s="1"/>
  <c r="I8" i="16"/>
  <c r="J7" i="16"/>
  <c r="I7" i="16"/>
  <c r="N6" i="15"/>
  <c r="M7" i="15" s="1"/>
  <c r="I11" i="15"/>
  <c r="J11" i="15"/>
  <c r="L11" i="15" s="1"/>
  <c r="P11" i="15" s="1"/>
  <c r="H12" i="15"/>
  <c r="K12" i="15" s="1"/>
  <c r="G12" i="15"/>
  <c r="C14" i="15"/>
  <c r="E13" i="15"/>
  <c r="F13" i="15" s="1"/>
  <c r="D32" i="15" l="1"/>
  <c r="E31" i="15"/>
  <c r="F31" i="15" s="1"/>
  <c r="P28" i="15"/>
  <c r="G30" i="15"/>
  <c r="H30" i="15"/>
  <c r="K30" i="15" s="1"/>
  <c r="J29" i="15"/>
  <c r="L29" i="15" s="1"/>
  <c r="I29" i="15"/>
  <c r="C35" i="15"/>
  <c r="H10" i="16"/>
  <c r="K10" i="16" s="1"/>
  <c r="G10" i="16"/>
  <c r="L7" i="16"/>
  <c r="J9" i="16"/>
  <c r="L9" i="16" s="1"/>
  <c r="I9" i="16"/>
  <c r="P8" i="16"/>
  <c r="M6" i="16"/>
  <c r="R6" i="16"/>
  <c r="E11" i="16"/>
  <c r="F11" i="16" s="1"/>
  <c r="C12" i="16"/>
  <c r="Q6" i="15"/>
  <c r="J12" i="15"/>
  <c r="I12" i="15"/>
  <c r="N7" i="15"/>
  <c r="M8" i="15" s="1"/>
  <c r="H13" i="15"/>
  <c r="K13" i="15" s="1"/>
  <c r="G13" i="15"/>
  <c r="C15" i="15"/>
  <c r="E14" i="15"/>
  <c r="F14" i="15" s="1"/>
  <c r="G31" i="15" l="1"/>
  <c r="H31" i="15"/>
  <c r="K31" i="15" s="1"/>
  <c r="I30" i="15"/>
  <c r="J30" i="15"/>
  <c r="L30" i="15" s="1"/>
  <c r="P29" i="15"/>
  <c r="D33" i="15"/>
  <c r="E32" i="15"/>
  <c r="F32" i="15" s="1"/>
  <c r="H11" i="16"/>
  <c r="K11" i="16" s="1"/>
  <c r="G11" i="16"/>
  <c r="P7" i="16"/>
  <c r="Q7" i="16" s="1"/>
  <c r="J10" i="16"/>
  <c r="L10" i="16" s="1"/>
  <c r="I10" i="16"/>
  <c r="C13" i="16"/>
  <c r="E12" i="16"/>
  <c r="F12" i="16" s="1"/>
  <c r="P9" i="16"/>
  <c r="N6" i="16"/>
  <c r="I13" i="15"/>
  <c r="J13" i="15"/>
  <c r="L13" i="15" s="1"/>
  <c r="P13" i="15" s="1"/>
  <c r="L12" i="15"/>
  <c r="N8" i="15"/>
  <c r="M9" i="15" s="1"/>
  <c r="Q7" i="15"/>
  <c r="R6" i="15"/>
  <c r="H14" i="15"/>
  <c r="K14" i="15" s="1"/>
  <c r="G14" i="15"/>
  <c r="E15" i="15"/>
  <c r="F15" i="15" s="1"/>
  <c r="C16" i="15"/>
  <c r="P30" i="15" l="1"/>
  <c r="G32" i="15"/>
  <c r="H32" i="15"/>
  <c r="K32" i="15" s="1"/>
  <c r="D34" i="15"/>
  <c r="E33" i="15"/>
  <c r="F33" i="15" s="1"/>
  <c r="I31" i="15"/>
  <c r="J31" i="15"/>
  <c r="L31" i="15" s="1"/>
  <c r="H12" i="16"/>
  <c r="K12" i="16" s="1"/>
  <c r="G12" i="16"/>
  <c r="Q8" i="16"/>
  <c r="R7" i="16"/>
  <c r="J11" i="16"/>
  <c r="L11" i="16" s="1"/>
  <c r="I11" i="16"/>
  <c r="P10" i="16"/>
  <c r="C14" i="16"/>
  <c r="E13" i="16"/>
  <c r="F13" i="16" s="1"/>
  <c r="M7" i="16"/>
  <c r="N7" i="16" s="1"/>
  <c r="Q8" i="15"/>
  <c r="R7" i="15"/>
  <c r="N9" i="15"/>
  <c r="M10" i="15" s="1"/>
  <c r="I14" i="15"/>
  <c r="J14" i="15"/>
  <c r="L14" i="15" s="1"/>
  <c r="P14" i="15" s="1"/>
  <c r="P12" i="15"/>
  <c r="G15" i="15"/>
  <c r="H15" i="15"/>
  <c r="K15" i="15" s="1"/>
  <c r="E16" i="15"/>
  <c r="F16" i="15" s="1"/>
  <c r="C17" i="15"/>
  <c r="P31" i="15" l="1"/>
  <c r="H33" i="15"/>
  <c r="K33" i="15" s="1"/>
  <c r="G33" i="15"/>
  <c r="D35" i="15"/>
  <c r="E34" i="15"/>
  <c r="F34" i="15" s="1"/>
  <c r="I32" i="15"/>
  <c r="J32" i="15"/>
  <c r="L32" i="15" s="1"/>
  <c r="C36" i="15"/>
  <c r="H13" i="16"/>
  <c r="K13" i="16" s="1"/>
  <c r="G13" i="16"/>
  <c r="M8" i="16"/>
  <c r="N8" i="16" s="1"/>
  <c r="R8" i="16"/>
  <c r="Q9" i="16"/>
  <c r="E14" i="16"/>
  <c r="F14" i="16" s="1"/>
  <c r="C15" i="16"/>
  <c r="P11" i="16"/>
  <c r="J12" i="16"/>
  <c r="L12" i="16" s="1"/>
  <c r="I12" i="16"/>
  <c r="J15" i="15"/>
  <c r="L15" i="15" s="1"/>
  <c r="I15" i="15"/>
  <c r="N10" i="15"/>
  <c r="M11" i="15" s="1"/>
  <c r="Q9" i="15"/>
  <c r="R9" i="15" s="1"/>
  <c r="R8" i="15"/>
  <c r="H16" i="15"/>
  <c r="K16" i="15" s="1"/>
  <c r="G16" i="15"/>
  <c r="C18" i="15"/>
  <c r="E17" i="15"/>
  <c r="F17" i="15" s="1"/>
  <c r="D36" i="15" l="1"/>
  <c r="E35" i="15"/>
  <c r="F35" i="15" s="1"/>
  <c r="J33" i="15"/>
  <c r="L33" i="15" s="1"/>
  <c r="I33" i="15"/>
  <c r="P32" i="15"/>
  <c r="G34" i="15"/>
  <c r="H34" i="15"/>
  <c r="K34" i="15" s="1"/>
  <c r="E36" i="15"/>
  <c r="F36" i="15" s="1"/>
  <c r="H14" i="16"/>
  <c r="K14" i="16" s="1"/>
  <c r="G14" i="16"/>
  <c r="P12" i="16"/>
  <c r="M9" i="16"/>
  <c r="N9" i="16" s="1"/>
  <c r="J13" i="16"/>
  <c r="L13" i="16" s="1"/>
  <c r="I13" i="16"/>
  <c r="Q10" i="16"/>
  <c r="R9" i="16"/>
  <c r="C16" i="16"/>
  <c r="E15" i="16"/>
  <c r="F15" i="16" s="1"/>
  <c r="Q10" i="15"/>
  <c r="N11" i="15"/>
  <c r="M12" i="15" s="1"/>
  <c r="J16" i="15"/>
  <c r="L16" i="15" s="1"/>
  <c r="P16" i="15" s="1"/>
  <c r="I16" i="15"/>
  <c r="P15" i="15"/>
  <c r="G17" i="15"/>
  <c r="H17" i="15"/>
  <c r="K17" i="15" s="1"/>
  <c r="E18" i="15"/>
  <c r="F18" i="15" s="1"/>
  <c r="C19" i="15"/>
  <c r="D58" i="15" l="1"/>
  <c r="D59" i="15" s="1"/>
  <c r="D60" i="15" s="1"/>
  <c r="D61" i="15" s="1"/>
  <c r="D62" i="15" s="1"/>
  <c r="D63" i="15" s="1"/>
  <c r="D64" i="15" s="1"/>
  <c r="D65" i="15" s="1"/>
  <c r="D66" i="15" s="1"/>
  <c r="P33" i="15"/>
  <c r="H35" i="15"/>
  <c r="K35" i="15" s="1"/>
  <c r="G35" i="15"/>
  <c r="I34" i="15"/>
  <c r="J34" i="15"/>
  <c r="L34" i="15" s="1"/>
  <c r="G36" i="15"/>
  <c r="H36" i="15"/>
  <c r="K36" i="15" s="1"/>
  <c r="E49" i="15"/>
  <c r="E50" i="15" s="1"/>
  <c r="E51" i="15" s="1"/>
  <c r="R43" i="15"/>
  <c r="H15" i="16"/>
  <c r="K15" i="16" s="1"/>
  <c r="G15" i="16"/>
  <c r="R10" i="16"/>
  <c r="Q11" i="16"/>
  <c r="P13" i="16"/>
  <c r="C17" i="16"/>
  <c r="E16" i="16"/>
  <c r="F16" i="16" s="1"/>
  <c r="M10" i="16"/>
  <c r="N10" i="16" s="1"/>
  <c r="J14" i="16"/>
  <c r="L14" i="16" s="1"/>
  <c r="I14" i="16"/>
  <c r="N12" i="15"/>
  <c r="M13" i="15" s="1"/>
  <c r="I17" i="15"/>
  <c r="J17" i="15"/>
  <c r="L17" i="15" s="1"/>
  <c r="P17" i="15" s="1"/>
  <c r="Q11" i="15"/>
  <c r="R10" i="15"/>
  <c r="H18" i="15"/>
  <c r="K18" i="15" s="1"/>
  <c r="G18" i="15"/>
  <c r="C20" i="15"/>
  <c r="E19" i="15"/>
  <c r="F19" i="15" s="1"/>
  <c r="I35" i="15" l="1"/>
  <c r="J35" i="15"/>
  <c r="L35" i="15" s="1"/>
  <c r="P34" i="15"/>
  <c r="I36" i="15"/>
  <c r="J36" i="15"/>
  <c r="L36" i="15" s="1"/>
  <c r="C57" i="15"/>
  <c r="E47" i="15"/>
  <c r="H12" i="12"/>
  <c r="H13" i="12" s="1"/>
  <c r="F13" i="12"/>
  <c r="D13" i="12"/>
  <c r="D67" i="15"/>
  <c r="M11" i="16"/>
  <c r="N11" i="16" s="1"/>
  <c r="G16" i="16"/>
  <c r="H16" i="16"/>
  <c r="K16" i="16" s="1"/>
  <c r="R11" i="16"/>
  <c r="Q12" i="16"/>
  <c r="C18" i="16"/>
  <c r="E17" i="16"/>
  <c r="F17" i="16" s="1"/>
  <c r="I15" i="16"/>
  <c r="J15" i="16"/>
  <c r="L15" i="16" s="1"/>
  <c r="P14" i="16"/>
  <c r="N13" i="15"/>
  <c r="M14" i="15" s="1"/>
  <c r="Q12" i="15"/>
  <c r="R11" i="15"/>
  <c r="J18" i="15"/>
  <c r="L18" i="15" s="1"/>
  <c r="P18" i="15" s="1"/>
  <c r="I18" i="15"/>
  <c r="H19" i="15"/>
  <c r="K19" i="15" s="1"/>
  <c r="G19" i="15"/>
  <c r="C21" i="15"/>
  <c r="E20" i="15"/>
  <c r="F20" i="15" s="1"/>
  <c r="P35" i="15" l="1"/>
  <c r="H8" i="12"/>
  <c r="D8" i="12"/>
  <c r="D10" i="12" s="1"/>
  <c r="D12" i="12" s="1"/>
  <c r="F12" i="12"/>
  <c r="P36" i="15"/>
  <c r="C58" i="15"/>
  <c r="E57" i="15"/>
  <c r="F57" i="15" s="1"/>
  <c r="G57" i="15" s="1"/>
  <c r="H57" i="15" s="1"/>
  <c r="D68" i="15"/>
  <c r="G17" i="16"/>
  <c r="H17" i="16"/>
  <c r="K17" i="16" s="1"/>
  <c r="M12" i="16"/>
  <c r="N12" i="16" s="1"/>
  <c r="P15" i="16"/>
  <c r="Q13" i="16"/>
  <c r="R12" i="16"/>
  <c r="J16" i="16"/>
  <c r="L16" i="16" s="1"/>
  <c r="I16" i="16"/>
  <c r="E18" i="16"/>
  <c r="F18" i="16" s="1"/>
  <c r="C19" i="16"/>
  <c r="Q13" i="15"/>
  <c r="R12" i="15"/>
  <c r="I19" i="15"/>
  <c r="J19" i="15"/>
  <c r="L19" i="15" s="1"/>
  <c r="P19" i="15" s="1"/>
  <c r="N14" i="15"/>
  <c r="M15" i="15" s="1"/>
  <c r="H20" i="15"/>
  <c r="K20" i="15" s="1"/>
  <c r="G20" i="15"/>
  <c r="E21" i="15"/>
  <c r="F21" i="15" s="1"/>
  <c r="C22" i="15"/>
  <c r="C59" i="15" l="1"/>
  <c r="E58" i="15"/>
  <c r="F58" i="15" s="1"/>
  <c r="G58" i="15" s="1"/>
  <c r="H58" i="15" s="1"/>
  <c r="D69" i="15"/>
  <c r="M13" i="16"/>
  <c r="N13" i="16" s="1"/>
  <c r="H18" i="16"/>
  <c r="K18" i="16" s="1"/>
  <c r="G18" i="16"/>
  <c r="P16" i="16"/>
  <c r="E19" i="16"/>
  <c r="F19" i="16" s="1"/>
  <c r="C20" i="16"/>
  <c r="Q14" i="16"/>
  <c r="R13" i="16"/>
  <c r="J17" i="16"/>
  <c r="L17" i="16" s="1"/>
  <c r="I17" i="16"/>
  <c r="I20" i="15"/>
  <c r="J20" i="15"/>
  <c r="L20" i="15" s="1"/>
  <c r="P20" i="15" s="1"/>
  <c r="Q14" i="15"/>
  <c r="R13" i="15"/>
  <c r="E22" i="15"/>
  <c r="F22" i="15" s="1"/>
  <c r="C23" i="15"/>
  <c r="G21" i="15"/>
  <c r="H21" i="15"/>
  <c r="K21" i="15" s="1"/>
  <c r="C60" i="15" l="1"/>
  <c r="E59" i="15"/>
  <c r="F59" i="15" s="1"/>
  <c r="G59" i="15" s="1"/>
  <c r="H59" i="15" s="1"/>
  <c r="D70" i="15"/>
  <c r="R14" i="16"/>
  <c r="Q15" i="16"/>
  <c r="I18" i="16"/>
  <c r="J18" i="16"/>
  <c r="L18" i="16" s="1"/>
  <c r="C21" i="16"/>
  <c r="E20" i="16"/>
  <c r="F20" i="16" s="1"/>
  <c r="G19" i="16"/>
  <c r="H19" i="16"/>
  <c r="K19" i="16" s="1"/>
  <c r="M14" i="16"/>
  <c r="N14" i="16" s="1"/>
  <c r="P17" i="16"/>
  <c r="J21" i="15"/>
  <c r="L21" i="15" s="1"/>
  <c r="P21" i="15" s="1"/>
  <c r="I21" i="15"/>
  <c r="Q15" i="15"/>
  <c r="R14" i="15"/>
  <c r="N15" i="15"/>
  <c r="M16" i="15" s="1"/>
  <c r="H22" i="15"/>
  <c r="K22" i="15" s="1"/>
  <c r="G22" i="15"/>
  <c r="C24" i="15"/>
  <c r="E23" i="15"/>
  <c r="F23" i="15" s="1"/>
  <c r="C61" i="15" l="1"/>
  <c r="E60" i="15"/>
  <c r="F60" i="15" s="1"/>
  <c r="G60" i="15" s="1"/>
  <c r="H60" i="15" s="1"/>
  <c r="D71" i="15"/>
  <c r="M15" i="16"/>
  <c r="N15" i="16" s="1"/>
  <c r="P18" i="16"/>
  <c r="G20" i="16"/>
  <c r="H20" i="16"/>
  <c r="K20" i="16" s="1"/>
  <c r="E21" i="16"/>
  <c r="F21" i="16" s="1"/>
  <c r="C22" i="16"/>
  <c r="I19" i="16"/>
  <c r="J19" i="16"/>
  <c r="L19" i="16" s="1"/>
  <c r="Q16" i="16"/>
  <c r="R15" i="16"/>
  <c r="J22" i="15"/>
  <c r="L22" i="15" s="1"/>
  <c r="P22" i="15" s="1"/>
  <c r="I22" i="15"/>
  <c r="Q16" i="15"/>
  <c r="R15" i="15"/>
  <c r="G23" i="15"/>
  <c r="H23" i="15"/>
  <c r="K23" i="15" s="1"/>
  <c r="E24" i="15"/>
  <c r="F24" i="15" s="1"/>
  <c r="C25" i="15"/>
  <c r="C62" i="15" l="1"/>
  <c r="E61" i="15"/>
  <c r="F61" i="15" s="1"/>
  <c r="G61" i="15" s="1"/>
  <c r="H61" i="15" s="1"/>
  <c r="D72" i="15"/>
  <c r="H21" i="16"/>
  <c r="K21" i="16" s="1"/>
  <c r="G21" i="16"/>
  <c r="P19" i="16"/>
  <c r="I20" i="16"/>
  <c r="J20" i="16"/>
  <c r="L20" i="16" s="1"/>
  <c r="E22" i="16"/>
  <c r="F22" i="16" s="1"/>
  <c r="C23" i="16"/>
  <c r="M16" i="16"/>
  <c r="N16" i="16" s="1"/>
  <c r="Q17" i="16"/>
  <c r="R16" i="16"/>
  <c r="R44" i="15"/>
  <c r="I23" i="15"/>
  <c r="J23" i="15"/>
  <c r="L23" i="15" s="1"/>
  <c r="P23" i="15" s="1"/>
  <c r="Q17" i="15"/>
  <c r="R16" i="15"/>
  <c r="N16" i="15"/>
  <c r="M17" i="15" s="1"/>
  <c r="H24" i="15"/>
  <c r="K24" i="15" s="1"/>
  <c r="G24" i="15"/>
  <c r="E25" i="15"/>
  <c r="F25" i="15" s="1"/>
  <c r="C63" i="15" l="1"/>
  <c r="E62" i="15"/>
  <c r="F62" i="15" s="1"/>
  <c r="G62" i="15" s="1"/>
  <c r="H62" i="15" s="1"/>
  <c r="R48" i="15"/>
  <c r="R45" i="15"/>
  <c r="R46" i="15" s="1"/>
  <c r="D73" i="15"/>
  <c r="M17" i="16"/>
  <c r="N17" i="16" s="1"/>
  <c r="H22" i="16"/>
  <c r="K22" i="16" s="1"/>
  <c r="G22" i="16"/>
  <c r="I21" i="16"/>
  <c r="J21" i="16"/>
  <c r="L21" i="16" s="1"/>
  <c r="C24" i="16"/>
  <c r="E23" i="16"/>
  <c r="F23" i="16" s="1"/>
  <c r="R17" i="16"/>
  <c r="Q18" i="16"/>
  <c r="P20" i="16"/>
  <c r="Q18" i="15"/>
  <c r="R17" i="15"/>
  <c r="I24" i="15"/>
  <c r="J24" i="15"/>
  <c r="L24" i="15" s="1"/>
  <c r="P24" i="15" s="1"/>
  <c r="H25" i="15"/>
  <c r="K25" i="15" s="1"/>
  <c r="G25" i="15"/>
  <c r="C64" i="15" l="1"/>
  <c r="E63" i="15"/>
  <c r="F63" i="15" s="1"/>
  <c r="G63" i="15" s="1"/>
  <c r="H63" i="15" s="1"/>
  <c r="R49" i="15"/>
  <c r="R50" i="15" s="1"/>
  <c r="D74" i="15"/>
  <c r="G23" i="16"/>
  <c r="H23" i="16"/>
  <c r="K23" i="16" s="1"/>
  <c r="M18" i="16"/>
  <c r="N18" i="16" s="1"/>
  <c r="Q19" i="16"/>
  <c r="R18" i="16"/>
  <c r="J22" i="16"/>
  <c r="L22" i="16" s="1"/>
  <c r="I22" i="16"/>
  <c r="P21" i="16"/>
  <c r="C25" i="16"/>
  <c r="E24" i="16"/>
  <c r="F24" i="16" s="1"/>
  <c r="Q19" i="15"/>
  <c r="R18" i="15"/>
  <c r="I25" i="15"/>
  <c r="J25" i="15"/>
  <c r="L25" i="15" s="1"/>
  <c r="P25" i="15" s="1"/>
  <c r="N17" i="15"/>
  <c r="M18" i="15" s="1"/>
  <c r="C65" i="15" l="1"/>
  <c r="E64" i="15"/>
  <c r="F64" i="15" s="1"/>
  <c r="G64" i="15" s="1"/>
  <c r="H64" i="15" s="1"/>
  <c r="D75" i="15"/>
  <c r="H24" i="16"/>
  <c r="K24" i="16" s="1"/>
  <c r="G24" i="16"/>
  <c r="M19" i="16"/>
  <c r="N19" i="16" s="1"/>
  <c r="E25" i="16"/>
  <c r="F25" i="16" s="1"/>
  <c r="C26" i="16"/>
  <c r="Q20" i="16"/>
  <c r="R19" i="16"/>
  <c r="P22" i="16"/>
  <c r="J23" i="16"/>
  <c r="L23" i="16" s="1"/>
  <c r="I23" i="16"/>
  <c r="Q20" i="15"/>
  <c r="R19" i="15"/>
  <c r="C66" i="15" l="1"/>
  <c r="E65" i="15"/>
  <c r="F65" i="15" s="1"/>
  <c r="G65" i="15" s="1"/>
  <c r="H65" i="15" s="1"/>
  <c r="G25" i="16"/>
  <c r="H25" i="16"/>
  <c r="K25" i="16" s="1"/>
  <c r="M20" i="16"/>
  <c r="N20" i="16" s="1"/>
  <c r="I24" i="16"/>
  <c r="J24" i="16"/>
  <c r="L24" i="16" s="1"/>
  <c r="C27" i="16"/>
  <c r="E26" i="16"/>
  <c r="F26" i="16" s="1"/>
  <c r="Q21" i="16"/>
  <c r="R20" i="16"/>
  <c r="P23" i="16"/>
  <c r="Q21" i="15"/>
  <c r="R20" i="15"/>
  <c r="N18" i="15"/>
  <c r="M19" i="15" s="1"/>
  <c r="C67" i="15" l="1"/>
  <c r="E66" i="15"/>
  <c r="F66" i="15" s="1"/>
  <c r="G66" i="15" s="1"/>
  <c r="H66" i="15" s="1"/>
  <c r="M21" i="16"/>
  <c r="N21" i="16" s="1"/>
  <c r="G26" i="16"/>
  <c r="H26" i="16"/>
  <c r="K26" i="16" s="1"/>
  <c r="P24" i="16"/>
  <c r="Q22" i="16"/>
  <c r="R21" i="16"/>
  <c r="C28" i="16"/>
  <c r="E27" i="16"/>
  <c r="F27" i="16" s="1"/>
  <c r="I25" i="16"/>
  <c r="J25" i="16"/>
  <c r="L25" i="16" s="1"/>
  <c r="Q22" i="15"/>
  <c r="R21" i="15"/>
  <c r="C68" i="15" l="1"/>
  <c r="E67" i="15"/>
  <c r="F67" i="15" s="1"/>
  <c r="G67" i="15" s="1"/>
  <c r="H67" i="15" s="1"/>
  <c r="H27" i="16"/>
  <c r="K27" i="16" s="1"/>
  <c r="G27" i="16"/>
  <c r="I26" i="16"/>
  <c r="J26" i="16"/>
  <c r="L26" i="16" s="1"/>
  <c r="P25" i="16"/>
  <c r="Q23" i="16"/>
  <c r="R22" i="16"/>
  <c r="M22" i="16"/>
  <c r="N22" i="16" s="1"/>
  <c r="E28" i="16"/>
  <c r="F28" i="16" s="1"/>
  <c r="C29" i="16"/>
  <c r="Q23" i="15"/>
  <c r="R22" i="15"/>
  <c r="N19" i="15"/>
  <c r="M20" i="15" s="1"/>
  <c r="C69" i="15" l="1"/>
  <c r="E68" i="15"/>
  <c r="F68" i="15" s="1"/>
  <c r="G68" i="15" s="1"/>
  <c r="H68" i="15" s="1"/>
  <c r="H28" i="16"/>
  <c r="K28" i="16" s="1"/>
  <c r="G28" i="16"/>
  <c r="M23" i="16"/>
  <c r="N23" i="16" s="1"/>
  <c r="P26" i="16"/>
  <c r="Q24" i="16"/>
  <c r="R23" i="16"/>
  <c r="I27" i="16"/>
  <c r="J27" i="16"/>
  <c r="L27" i="16" s="1"/>
  <c r="C30" i="16"/>
  <c r="E29" i="16"/>
  <c r="F29" i="16" s="1"/>
  <c r="Q24" i="15"/>
  <c r="R23" i="15"/>
  <c r="C70" i="15" l="1"/>
  <c r="E69" i="15"/>
  <c r="F69" i="15" s="1"/>
  <c r="G69" i="15" s="1"/>
  <c r="H69" i="15" s="1"/>
  <c r="G29" i="16"/>
  <c r="H29" i="16"/>
  <c r="K29" i="16" s="1"/>
  <c r="M24" i="16"/>
  <c r="N24" i="16" s="1"/>
  <c r="P27" i="16"/>
  <c r="I28" i="16"/>
  <c r="J28" i="16"/>
  <c r="L28" i="16" s="1"/>
  <c r="C31" i="16"/>
  <c r="E30" i="16"/>
  <c r="F30" i="16" s="1"/>
  <c r="Q25" i="16"/>
  <c r="R24" i="16"/>
  <c r="Q25" i="15"/>
  <c r="Q26" i="15" s="1"/>
  <c r="R24" i="15"/>
  <c r="N20" i="15"/>
  <c r="M21" i="15" s="1"/>
  <c r="Q27" i="15" l="1"/>
  <c r="R26" i="15"/>
  <c r="C71" i="15"/>
  <c r="E70" i="15"/>
  <c r="F70" i="15" s="1"/>
  <c r="G70" i="15" s="1"/>
  <c r="H70" i="15" s="1"/>
  <c r="M25" i="16"/>
  <c r="N25" i="16" s="1"/>
  <c r="H30" i="16"/>
  <c r="K30" i="16" s="1"/>
  <c r="G30" i="16"/>
  <c r="E31" i="16"/>
  <c r="F31" i="16" s="1"/>
  <c r="C32" i="16"/>
  <c r="P28" i="16"/>
  <c r="Q26" i="16"/>
  <c r="R25" i="16"/>
  <c r="J29" i="16"/>
  <c r="L29" i="16" s="1"/>
  <c r="I29" i="16"/>
  <c r="R25" i="15"/>
  <c r="Q28" i="15" l="1"/>
  <c r="R27" i="15"/>
  <c r="C72" i="15"/>
  <c r="E71" i="15"/>
  <c r="F71" i="15" s="1"/>
  <c r="G71" i="15" s="1"/>
  <c r="H71" i="15" s="1"/>
  <c r="G31" i="16"/>
  <c r="H31" i="16"/>
  <c r="K31" i="16" s="1"/>
  <c r="C33" i="16"/>
  <c r="E32" i="16"/>
  <c r="F32" i="16" s="1"/>
  <c r="R26" i="16"/>
  <c r="Q27" i="16"/>
  <c r="M26" i="16"/>
  <c r="N26" i="16" s="1"/>
  <c r="I30" i="16"/>
  <c r="J30" i="16"/>
  <c r="L30" i="16" s="1"/>
  <c r="P29" i="16"/>
  <c r="N21" i="15"/>
  <c r="M22" i="15" s="1"/>
  <c r="R28" i="15" l="1"/>
  <c r="Q29" i="15"/>
  <c r="C73" i="15"/>
  <c r="E72" i="15"/>
  <c r="F72" i="15" s="1"/>
  <c r="G72" i="15" s="1"/>
  <c r="H72" i="15" s="1"/>
  <c r="G32" i="16"/>
  <c r="H32" i="16"/>
  <c r="K32" i="16" s="1"/>
  <c r="M27" i="16"/>
  <c r="N27" i="16" s="1"/>
  <c r="E33" i="16"/>
  <c r="F33" i="16" s="1"/>
  <c r="C34" i="16"/>
  <c r="P30" i="16"/>
  <c r="Q28" i="16"/>
  <c r="R27" i="16"/>
  <c r="J31" i="16"/>
  <c r="L31" i="16" s="1"/>
  <c r="I31" i="16"/>
  <c r="E38" i="15"/>
  <c r="Q30" i="15" l="1"/>
  <c r="R29" i="15"/>
  <c r="C74" i="15"/>
  <c r="E73" i="15"/>
  <c r="F73" i="15" s="1"/>
  <c r="G73" i="15" s="1"/>
  <c r="H73" i="15" s="1"/>
  <c r="H33" i="16"/>
  <c r="K33" i="16" s="1"/>
  <c r="G33" i="16"/>
  <c r="E34" i="16"/>
  <c r="F34" i="16" s="1"/>
  <c r="C35" i="16"/>
  <c r="Q29" i="16"/>
  <c r="R28" i="16"/>
  <c r="M28" i="16"/>
  <c r="N28" i="16" s="1"/>
  <c r="P31" i="16"/>
  <c r="J32" i="16"/>
  <c r="L32" i="16" s="1"/>
  <c r="I32" i="16"/>
  <c r="F38" i="15"/>
  <c r="N22" i="15"/>
  <c r="M23" i="15" s="1"/>
  <c r="Q31" i="15" l="1"/>
  <c r="R30" i="15"/>
  <c r="C75" i="15"/>
  <c r="E75" i="15" s="1"/>
  <c r="F75" i="15" s="1"/>
  <c r="G75" i="15" s="1"/>
  <c r="E74" i="15"/>
  <c r="F74" i="15" s="1"/>
  <c r="G74" i="15" s="1"/>
  <c r="H74" i="15" s="1"/>
  <c r="H75" i="15" s="1"/>
  <c r="M29" i="16"/>
  <c r="N29" i="16" s="1"/>
  <c r="Q30" i="16"/>
  <c r="R29" i="16"/>
  <c r="G34" i="16"/>
  <c r="H34" i="16"/>
  <c r="K34" i="16" s="1"/>
  <c r="I33" i="16"/>
  <c r="J33" i="16"/>
  <c r="L33" i="16" s="1"/>
  <c r="C36" i="16"/>
  <c r="E35" i="16"/>
  <c r="F35" i="16" s="1"/>
  <c r="P32" i="16"/>
  <c r="R31" i="15" l="1"/>
  <c r="Q32" i="15"/>
  <c r="M30" i="16"/>
  <c r="N30" i="16" s="1"/>
  <c r="I34" i="16"/>
  <c r="J34" i="16"/>
  <c r="L34" i="16" s="1"/>
  <c r="G35" i="16"/>
  <c r="H35" i="16"/>
  <c r="K35" i="16" s="1"/>
  <c r="E36" i="16"/>
  <c r="E38" i="16" s="1"/>
  <c r="Q31" i="16"/>
  <c r="R30" i="16"/>
  <c r="P33" i="16"/>
  <c r="G38" i="15"/>
  <c r="K38" i="15"/>
  <c r="H38" i="15"/>
  <c r="I38" i="15"/>
  <c r="J38" i="15"/>
  <c r="N23" i="15"/>
  <c r="M24" i="15" s="1"/>
  <c r="Q33" i="15" l="1"/>
  <c r="R32" i="15"/>
  <c r="M31" i="16"/>
  <c r="N31" i="16" s="1"/>
  <c r="R44" i="16"/>
  <c r="E45" i="16"/>
  <c r="E49" i="16"/>
  <c r="Q32" i="16"/>
  <c r="R31" i="16"/>
  <c r="J35" i="16"/>
  <c r="L35" i="16" s="1"/>
  <c r="I35" i="16"/>
  <c r="P34" i="16"/>
  <c r="F36" i="16"/>
  <c r="Q34" i="15" l="1"/>
  <c r="R33" i="15"/>
  <c r="L38" i="15"/>
  <c r="R32" i="16"/>
  <c r="Q33" i="16"/>
  <c r="C57" i="16"/>
  <c r="P35" i="16"/>
  <c r="M32" i="16"/>
  <c r="N32" i="16" s="1"/>
  <c r="E50" i="16"/>
  <c r="E51" i="16" s="1"/>
  <c r="R48" i="16"/>
  <c r="R46" i="16"/>
  <c r="H36" i="16"/>
  <c r="G36" i="16"/>
  <c r="F38" i="16"/>
  <c r="N24" i="15"/>
  <c r="M25" i="15" s="1"/>
  <c r="R34" i="15" l="1"/>
  <c r="Q35" i="15"/>
  <c r="M33" i="16"/>
  <c r="N33" i="16" s="1"/>
  <c r="C58" i="16"/>
  <c r="E57" i="16"/>
  <c r="F57" i="16" s="1"/>
  <c r="G57" i="16" s="1"/>
  <c r="H57" i="16" s="1"/>
  <c r="I36" i="16"/>
  <c r="I38" i="16" s="1"/>
  <c r="J36" i="16"/>
  <c r="G38" i="16"/>
  <c r="K36" i="16"/>
  <c r="K38" i="16" s="1"/>
  <c r="H38" i="16"/>
  <c r="Q34" i="16"/>
  <c r="R33" i="16"/>
  <c r="R49" i="16"/>
  <c r="R50" i="16" s="1"/>
  <c r="R35" i="15" l="1"/>
  <c r="Q36" i="15"/>
  <c r="R36" i="15" s="1"/>
  <c r="M34" i="16"/>
  <c r="N34" i="16" s="1"/>
  <c r="R34" i="16"/>
  <c r="Q35" i="16"/>
  <c r="E58" i="16"/>
  <c r="F58" i="16" s="1"/>
  <c r="G58" i="16" s="1"/>
  <c r="H58" i="16" s="1"/>
  <c r="C59" i="16"/>
  <c r="L36" i="16"/>
  <c r="J38" i="16"/>
  <c r="N25" i="15"/>
  <c r="M26" i="15" l="1"/>
  <c r="N26" i="15" s="1"/>
  <c r="M35" i="16"/>
  <c r="N35" i="16" s="1"/>
  <c r="R35" i="16"/>
  <c r="P36" i="16"/>
  <c r="Q36" i="16" s="1"/>
  <c r="Q38" i="16" s="1"/>
  <c r="L38" i="16"/>
  <c r="C60" i="16"/>
  <c r="E59" i="16"/>
  <c r="F59" i="16" s="1"/>
  <c r="G59" i="16" s="1"/>
  <c r="H59" i="16" s="1"/>
  <c r="Q38" i="15"/>
  <c r="M27" i="15" l="1"/>
  <c r="N27" i="15" s="1"/>
  <c r="K43" i="15"/>
  <c r="H16" i="12" s="1"/>
  <c r="K42" i="15"/>
  <c r="M36" i="16"/>
  <c r="M38" i="16" s="1"/>
  <c r="R36" i="16"/>
  <c r="R38" i="16" s="1"/>
  <c r="E60" i="16"/>
  <c r="F60" i="16" s="1"/>
  <c r="G60" i="16" s="1"/>
  <c r="H60" i="16" s="1"/>
  <c r="C61" i="16"/>
  <c r="M28" i="15" l="1"/>
  <c r="N28" i="15" s="1"/>
  <c r="G18" i="12"/>
  <c r="M42" i="15"/>
  <c r="K66" i="15" s="1"/>
  <c r="M43" i="15"/>
  <c r="M46" i="15" s="1"/>
  <c r="K42" i="16"/>
  <c r="M42" i="16" s="1"/>
  <c r="K43" i="16"/>
  <c r="M43" i="16" s="1"/>
  <c r="N36" i="16"/>
  <c r="N38" i="16" s="1"/>
  <c r="C62" i="16"/>
  <c r="E61" i="16"/>
  <c r="F61" i="16" s="1"/>
  <c r="G61" i="16" s="1"/>
  <c r="H61" i="16" s="1"/>
  <c r="K44" i="15"/>
  <c r="K57" i="16" l="1"/>
  <c r="K62" i="15"/>
  <c r="K73" i="15"/>
  <c r="K72" i="15"/>
  <c r="K74" i="15"/>
  <c r="M29" i="15"/>
  <c r="N29" i="15" s="1"/>
  <c r="M30" i="15" s="1"/>
  <c r="N30" i="15" s="1"/>
  <c r="K61" i="15"/>
  <c r="K58" i="15"/>
  <c r="K63" i="15"/>
  <c r="K68" i="15"/>
  <c r="K65" i="15"/>
  <c r="K71" i="15"/>
  <c r="K60" i="15"/>
  <c r="K70" i="15"/>
  <c r="K59" i="15"/>
  <c r="K64" i="15"/>
  <c r="K67" i="15"/>
  <c r="K69" i="15"/>
  <c r="K44" i="16"/>
  <c r="J57" i="16" s="1"/>
  <c r="E62" i="16"/>
  <c r="F62" i="16" s="1"/>
  <c r="G62" i="16" s="1"/>
  <c r="H62" i="16" s="1"/>
  <c r="C63" i="16"/>
  <c r="K73" i="16" l="1"/>
  <c r="K72" i="16"/>
  <c r="K74" i="16"/>
  <c r="M31" i="15"/>
  <c r="N31" i="15" s="1"/>
  <c r="M32" i="15" s="1"/>
  <c r="N32" i="15" s="1"/>
  <c r="M33" i="15" s="1"/>
  <c r="N33" i="15" s="1"/>
  <c r="J59" i="15"/>
  <c r="J60" i="15" s="1"/>
  <c r="J61" i="15" s="1"/>
  <c r="J62" i="15" s="1"/>
  <c r="J63" i="15" s="1"/>
  <c r="J64" i="15" s="1"/>
  <c r="J65" i="15" s="1"/>
  <c r="J66" i="15" s="1"/>
  <c r="J67" i="15" s="1"/>
  <c r="J68" i="15" s="1"/>
  <c r="J69" i="15" s="1"/>
  <c r="J70" i="15" s="1"/>
  <c r="J71" i="15" s="1"/>
  <c r="J72" i="15" s="1"/>
  <c r="J73" i="15" s="1"/>
  <c r="J74" i="15" s="1"/>
  <c r="C64" i="16"/>
  <c r="E63" i="16"/>
  <c r="F63" i="16" s="1"/>
  <c r="G63" i="16" s="1"/>
  <c r="H63" i="16" s="1"/>
  <c r="K70" i="16"/>
  <c r="K68" i="16"/>
  <c r="K66" i="16"/>
  <c r="K64" i="16"/>
  <c r="K71" i="16"/>
  <c r="K69" i="16"/>
  <c r="K67" i="16"/>
  <c r="K65" i="16"/>
  <c r="K63" i="16"/>
  <c r="K61" i="16"/>
  <c r="K59" i="16"/>
  <c r="M44" i="16"/>
  <c r="M45" i="16" s="1"/>
  <c r="M46" i="16" s="1"/>
  <c r="K62" i="16"/>
  <c r="K60" i="16"/>
  <c r="K58" i="16"/>
  <c r="J58" i="16" s="1"/>
  <c r="M34" i="15" l="1"/>
  <c r="N34" i="15" s="1"/>
  <c r="J59" i="16"/>
  <c r="J60" i="16" s="1"/>
  <c r="J61" i="16" s="1"/>
  <c r="J62" i="16" s="1"/>
  <c r="J63" i="16" s="1"/>
  <c r="E64" i="16"/>
  <c r="F64" i="16" s="1"/>
  <c r="G64" i="16" s="1"/>
  <c r="H64" i="16" s="1"/>
  <c r="C65" i="16"/>
  <c r="M35" i="15" l="1"/>
  <c r="N35" i="15" s="1"/>
  <c r="M36" i="15" s="1"/>
  <c r="N36" i="15" s="1"/>
  <c r="C66" i="16"/>
  <c r="E65" i="16"/>
  <c r="F65" i="16" s="1"/>
  <c r="G65" i="16" s="1"/>
  <c r="H65" i="16" s="1"/>
  <c r="J64" i="16"/>
  <c r="J65" i="16" l="1"/>
  <c r="E66" i="16"/>
  <c r="F66" i="16" s="1"/>
  <c r="G66" i="16" s="1"/>
  <c r="H66" i="16" s="1"/>
  <c r="C67" i="16"/>
  <c r="C68" i="16" l="1"/>
  <c r="E67" i="16"/>
  <c r="F67" i="16" s="1"/>
  <c r="G67" i="16" s="1"/>
  <c r="H67" i="16" s="1"/>
  <c r="J66" i="16"/>
  <c r="H93" i="13"/>
  <c r="P10" i="13"/>
  <c r="C10" i="13"/>
  <c r="K8" i="13"/>
  <c r="H6" i="13"/>
  <c r="L5" i="13"/>
  <c r="L6" i="13" s="1"/>
  <c r="G84" i="7"/>
  <c r="G84" i="10"/>
  <c r="C33" i="11"/>
  <c r="A33" i="11"/>
  <c r="H93" i="11"/>
  <c r="P10" i="11"/>
  <c r="C10" i="11"/>
  <c r="E10" i="11" s="1"/>
  <c r="G9" i="11"/>
  <c r="H9" i="11"/>
  <c r="H6" i="11"/>
  <c r="L5" i="11"/>
  <c r="L6" i="11" s="1"/>
  <c r="C10" i="8"/>
  <c r="I3" i="9"/>
  <c r="G3" i="9"/>
  <c r="E3" i="9"/>
  <c r="C10" i="7"/>
  <c r="J92" i="10"/>
  <c r="J95" i="10"/>
  <c r="J94" i="10"/>
  <c r="J93" i="10"/>
  <c r="C10" i="10"/>
  <c r="H93" i="10"/>
  <c r="P10" i="10"/>
  <c r="E10" i="10"/>
  <c r="F10" i="10" s="1"/>
  <c r="H6" i="10"/>
  <c r="L5" i="10"/>
  <c r="L6" i="10" s="1"/>
  <c r="I83" i="8"/>
  <c r="K8" i="8"/>
  <c r="H9" i="8" s="1"/>
  <c r="H93" i="8"/>
  <c r="P10" i="8"/>
  <c r="E10" i="8"/>
  <c r="F10" i="8" s="1"/>
  <c r="G9" i="8"/>
  <c r="H6" i="8"/>
  <c r="H7" i="8" s="1"/>
  <c r="J90" i="8" s="1"/>
  <c r="L5" i="8"/>
  <c r="L6" i="8" s="1"/>
  <c r="J93" i="7"/>
  <c r="K93" i="7"/>
  <c r="F92" i="7"/>
  <c r="J67" i="16" l="1"/>
  <c r="E68" i="16"/>
  <c r="F68" i="16" s="1"/>
  <c r="G68" i="16" s="1"/>
  <c r="H68" i="16" s="1"/>
  <c r="C69" i="16"/>
  <c r="F92" i="13"/>
  <c r="H7" i="13"/>
  <c r="J90" i="13" s="1"/>
  <c r="E10" i="13"/>
  <c r="C11" i="13"/>
  <c r="A11" i="13"/>
  <c r="C12" i="13" s="1"/>
  <c r="D33" i="11"/>
  <c r="E33" i="11" s="1"/>
  <c r="F33" i="11" s="1"/>
  <c r="P33" i="11"/>
  <c r="B33" i="11"/>
  <c r="H7" i="11"/>
  <c r="J90" i="11" s="1"/>
  <c r="F10" i="11"/>
  <c r="F92" i="11"/>
  <c r="C11" i="11"/>
  <c r="A11" i="11"/>
  <c r="F92" i="10"/>
  <c r="A11" i="10"/>
  <c r="H7" i="10"/>
  <c r="J90" i="10" s="1"/>
  <c r="H10" i="10"/>
  <c r="G10" i="10"/>
  <c r="H9" i="10"/>
  <c r="G9" i="10"/>
  <c r="C11" i="8"/>
  <c r="H10" i="8"/>
  <c r="G10" i="8"/>
  <c r="A11" i="8"/>
  <c r="A12" i="8" s="1"/>
  <c r="F92" i="8"/>
  <c r="H93" i="7"/>
  <c r="H6" i="7"/>
  <c r="H7" i="7" s="1"/>
  <c r="J90" i="7" s="1"/>
  <c r="L5" i="7"/>
  <c r="L6" i="7" s="1"/>
  <c r="G9" i="7"/>
  <c r="H9" i="7"/>
  <c r="E10" i="7"/>
  <c r="F10" i="7" s="1"/>
  <c r="P10" i="7"/>
  <c r="C70" i="16" l="1"/>
  <c r="E69" i="16"/>
  <c r="F69" i="16" s="1"/>
  <c r="G69" i="16" s="1"/>
  <c r="H69" i="16" s="1"/>
  <c r="J68" i="16"/>
  <c r="F10" i="13"/>
  <c r="J93" i="13"/>
  <c r="K93" i="13"/>
  <c r="L92" i="13"/>
  <c r="Q11" i="13"/>
  <c r="E11" i="13"/>
  <c r="P11" i="13"/>
  <c r="D11" i="13"/>
  <c r="B11" i="13"/>
  <c r="A12" i="13"/>
  <c r="G33" i="11"/>
  <c r="H33" i="11"/>
  <c r="K33" i="11" s="1"/>
  <c r="J93" i="11"/>
  <c r="L92" i="11"/>
  <c r="K93" i="11"/>
  <c r="D11" i="11"/>
  <c r="B11" i="11"/>
  <c r="Q11" i="11"/>
  <c r="P11" i="11"/>
  <c r="C12" i="11"/>
  <c r="G10" i="11"/>
  <c r="H10" i="11"/>
  <c r="A12" i="11"/>
  <c r="P11" i="10"/>
  <c r="B11" i="10"/>
  <c r="K10" i="10"/>
  <c r="A12" i="10"/>
  <c r="L92" i="10"/>
  <c r="K93" i="10"/>
  <c r="I10" i="10"/>
  <c r="J10" i="10"/>
  <c r="C12" i="10"/>
  <c r="P12" i="8"/>
  <c r="A13" i="8"/>
  <c r="L92" i="8"/>
  <c r="K93" i="8"/>
  <c r="J93" i="8"/>
  <c r="I10" i="8"/>
  <c r="Q12" i="8"/>
  <c r="P11" i="8"/>
  <c r="C12" i="8"/>
  <c r="D11" i="8"/>
  <c r="D12" i="8" s="1"/>
  <c r="B11" i="8"/>
  <c r="B12" i="8" s="1"/>
  <c r="C11" i="7"/>
  <c r="G10" i="7"/>
  <c r="H10" i="7"/>
  <c r="A11" i="7"/>
  <c r="J69" i="16" l="1"/>
  <c r="E70" i="16"/>
  <c r="F70" i="16" s="1"/>
  <c r="G70" i="16" s="1"/>
  <c r="H70" i="16" s="1"/>
  <c r="C71" i="16"/>
  <c r="P12" i="13"/>
  <c r="D12" i="13"/>
  <c r="E12" i="13" s="1"/>
  <c r="B12" i="13"/>
  <c r="Q12" i="13"/>
  <c r="C13" i="13"/>
  <c r="A13" i="13"/>
  <c r="G10" i="13"/>
  <c r="H10" i="13"/>
  <c r="F11" i="13"/>
  <c r="I33" i="11"/>
  <c r="J33" i="11"/>
  <c r="L33" i="11" s="1"/>
  <c r="E11" i="11"/>
  <c r="I10" i="11"/>
  <c r="J10" i="11"/>
  <c r="B12" i="11"/>
  <c r="Q12" i="11"/>
  <c r="P12" i="11"/>
  <c r="D12" i="11"/>
  <c r="E12" i="11" s="1"/>
  <c r="F12" i="11" s="1"/>
  <c r="A13" i="11"/>
  <c r="C13" i="11"/>
  <c r="K10" i="11"/>
  <c r="D12" i="10"/>
  <c r="B12" i="10"/>
  <c r="Q12" i="10"/>
  <c r="P12" i="10"/>
  <c r="C13" i="10"/>
  <c r="A13" i="10"/>
  <c r="L10" i="10"/>
  <c r="E11" i="8"/>
  <c r="Q13" i="8"/>
  <c r="P13" i="8"/>
  <c r="B13" i="8"/>
  <c r="D13" i="8"/>
  <c r="A14" i="8"/>
  <c r="C13" i="8"/>
  <c r="C14" i="8" s="1"/>
  <c r="E12" i="8"/>
  <c r="F12" i="8" s="1"/>
  <c r="L92" i="7"/>
  <c r="D11" i="7"/>
  <c r="E11" i="7" s="1"/>
  <c r="F11" i="7" s="1"/>
  <c r="P11" i="7"/>
  <c r="Q11" i="7"/>
  <c r="B11" i="7"/>
  <c r="A12" i="7"/>
  <c r="C12" i="7"/>
  <c r="K10" i="7"/>
  <c r="I10" i="7"/>
  <c r="J10" i="7"/>
  <c r="J70" i="16" l="1"/>
  <c r="C72" i="16"/>
  <c r="E71" i="16"/>
  <c r="F71" i="16" s="1"/>
  <c r="G71" i="16" s="1"/>
  <c r="H71" i="16" s="1"/>
  <c r="F12" i="13"/>
  <c r="J10" i="13"/>
  <c r="I10" i="13"/>
  <c r="H11" i="13"/>
  <c r="K11" i="13" s="1"/>
  <c r="G11" i="13"/>
  <c r="B13" i="13"/>
  <c r="P13" i="13"/>
  <c r="D13" i="13"/>
  <c r="E13" i="13" s="1"/>
  <c r="F13" i="13" s="1"/>
  <c r="Q13" i="13"/>
  <c r="A14" i="13"/>
  <c r="C14" i="13"/>
  <c r="M33" i="11"/>
  <c r="H12" i="11"/>
  <c r="K12" i="11" s="1"/>
  <c r="G12" i="11"/>
  <c r="L10" i="11"/>
  <c r="D13" i="11"/>
  <c r="B13" i="11"/>
  <c r="Q13" i="11"/>
  <c r="P13" i="11"/>
  <c r="C14" i="11"/>
  <c r="A14" i="11"/>
  <c r="F11" i="11"/>
  <c r="M10" i="10"/>
  <c r="Q13" i="10"/>
  <c r="P13" i="10"/>
  <c r="D13" i="10"/>
  <c r="E13" i="10" s="1"/>
  <c r="F13" i="10" s="1"/>
  <c r="B13" i="10"/>
  <c r="C14" i="10"/>
  <c r="A14" i="10"/>
  <c r="E12" i="10"/>
  <c r="H12" i="8"/>
  <c r="K12" i="8" s="1"/>
  <c r="G12" i="8"/>
  <c r="F11" i="8"/>
  <c r="M10" i="8"/>
  <c r="E13" i="8"/>
  <c r="F13" i="8" s="1"/>
  <c r="D14" i="8"/>
  <c r="B14" i="8"/>
  <c r="Q14" i="8"/>
  <c r="C15" i="8"/>
  <c r="P14" i="8"/>
  <c r="A15" i="8"/>
  <c r="L10" i="7"/>
  <c r="G11" i="7"/>
  <c r="H11" i="7"/>
  <c r="P12" i="7"/>
  <c r="Q12" i="7"/>
  <c r="B12" i="7"/>
  <c r="D12" i="7"/>
  <c r="E12" i="7" s="1"/>
  <c r="F12" i="7" s="1"/>
  <c r="C13" i="7"/>
  <c r="A13" i="7"/>
  <c r="E72" i="16" l="1"/>
  <c r="F72" i="16" s="1"/>
  <c r="G72" i="16" s="1"/>
  <c r="H72" i="16" s="1"/>
  <c r="C73" i="16"/>
  <c r="J71" i="16"/>
  <c r="H13" i="13"/>
  <c r="K13" i="13" s="1"/>
  <c r="G13" i="13"/>
  <c r="L10" i="13"/>
  <c r="J11" i="13"/>
  <c r="L11" i="13" s="1"/>
  <c r="I11" i="13"/>
  <c r="H12" i="13"/>
  <c r="G12" i="13"/>
  <c r="Q14" i="13"/>
  <c r="E14" i="13"/>
  <c r="F14" i="13" s="1"/>
  <c r="P14" i="13"/>
  <c r="D14" i="13"/>
  <c r="B14" i="13"/>
  <c r="C15" i="13"/>
  <c r="A15" i="13"/>
  <c r="N33" i="11"/>
  <c r="O33" i="11" s="1"/>
  <c r="M10" i="11"/>
  <c r="G11" i="11"/>
  <c r="H11" i="11"/>
  <c r="B14" i="11"/>
  <c r="Q14" i="11"/>
  <c r="P14" i="11"/>
  <c r="D14" i="11"/>
  <c r="E14" i="11" s="1"/>
  <c r="F14" i="11" s="1"/>
  <c r="C15" i="11"/>
  <c r="A15" i="11"/>
  <c r="E13" i="11"/>
  <c r="J12" i="11"/>
  <c r="L12" i="11" s="1"/>
  <c r="I12" i="11"/>
  <c r="H13" i="10"/>
  <c r="K13" i="10" s="1"/>
  <c r="G13" i="10"/>
  <c r="F12" i="10"/>
  <c r="D14" i="10"/>
  <c r="E14" i="10" s="1"/>
  <c r="B14" i="10"/>
  <c r="P14" i="10"/>
  <c r="Q14" i="10"/>
  <c r="A15" i="10"/>
  <c r="C15" i="10"/>
  <c r="K11" i="10"/>
  <c r="N10" i="10"/>
  <c r="O10" i="10" s="1"/>
  <c r="R10" i="10"/>
  <c r="H13" i="8"/>
  <c r="K13" i="8" s="1"/>
  <c r="G13" i="8"/>
  <c r="Q15" i="8"/>
  <c r="P15" i="8"/>
  <c r="C16" i="8"/>
  <c r="D15" i="8"/>
  <c r="E15" i="8" s="1"/>
  <c r="F15" i="8" s="1"/>
  <c r="B15" i="8"/>
  <c r="A16" i="8"/>
  <c r="E14" i="8"/>
  <c r="J12" i="8"/>
  <c r="L12" i="8" s="1"/>
  <c r="I12" i="8"/>
  <c r="H11" i="8"/>
  <c r="G11" i="8"/>
  <c r="R10" i="8"/>
  <c r="G12" i="7"/>
  <c r="H12" i="7"/>
  <c r="K12" i="7" s="1"/>
  <c r="K11" i="7"/>
  <c r="I11" i="7"/>
  <c r="J11" i="7"/>
  <c r="M10" i="7"/>
  <c r="D13" i="7"/>
  <c r="E13" i="7" s="1"/>
  <c r="F13" i="7" s="1"/>
  <c r="P13" i="7"/>
  <c r="Q13" i="7"/>
  <c r="B13" i="7"/>
  <c r="C14" i="7"/>
  <c r="A14" i="7"/>
  <c r="J72" i="16" l="1"/>
  <c r="C74" i="16"/>
  <c r="E73" i="16"/>
  <c r="F73" i="16" s="1"/>
  <c r="G73" i="16" s="1"/>
  <c r="H73" i="16" s="1"/>
  <c r="H14" i="13"/>
  <c r="K14" i="13" s="1"/>
  <c r="G14" i="13"/>
  <c r="R11" i="13"/>
  <c r="M10" i="13"/>
  <c r="K12" i="13"/>
  <c r="I13" i="13"/>
  <c r="J13" i="13"/>
  <c r="L13" i="13" s="1"/>
  <c r="P15" i="13"/>
  <c r="D15" i="13"/>
  <c r="E15" i="13" s="1"/>
  <c r="F15" i="13" s="1"/>
  <c r="B15" i="13"/>
  <c r="Q15" i="13"/>
  <c r="A16" i="13"/>
  <c r="C16" i="13"/>
  <c r="J12" i="13"/>
  <c r="I12" i="13"/>
  <c r="H14" i="11"/>
  <c r="K14" i="11" s="1"/>
  <c r="G14" i="11"/>
  <c r="J11" i="11"/>
  <c r="I11" i="11"/>
  <c r="K11" i="11"/>
  <c r="D15" i="11"/>
  <c r="E15" i="11" s="1"/>
  <c r="B15" i="11"/>
  <c r="Q15" i="11"/>
  <c r="P15" i="11"/>
  <c r="C16" i="11"/>
  <c r="A16" i="11"/>
  <c r="R10" i="11"/>
  <c r="N10" i="11"/>
  <c r="O10" i="11" s="1"/>
  <c r="R12" i="11"/>
  <c r="F13" i="11"/>
  <c r="F14" i="10"/>
  <c r="L11" i="10"/>
  <c r="G12" i="10"/>
  <c r="H12" i="10"/>
  <c r="Q15" i="10"/>
  <c r="P15" i="10"/>
  <c r="B15" i="10"/>
  <c r="D15" i="10"/>
  <c r="E15" i="10" s="1"/>
  <c r="C16" i="10"/>
  <c r="A16" i="10"/>
  <c r="S10" i="10"/>
  <c r="I13" i="10"/>
  <c r="J13" i="10"/>
  <c r="L13" i="10" s="1"/>
  <c r="S10" i="8"/>
  <c r="I11" i="8"/>
  <c r="J11" i="8"/>
  <c r="K11" i="8"/>
  <c r="I13" i="8"/>
  <c r="J13" i="8"/>
  <c r="L13" i="8" s="1"/>
  <c r="F14" i="8"/>
  <c r="D16" i="8"/>
  <c r="E16" i="8" s="1"/>
  <c r="B16" i="8"/>
  <c r="Q16" i="8"/>
  <c r="P16" i="8"/>
  <c r="C17" i="8"/>
  <c r="A17" i="8"/>
  <c r="H15" i="8"/>
  <c r="K15" i="8" s="1"/>
  <c r="G15" i="8"/>
  <c r="R12" i="8"/>
  <c r="N10" i="7"/>
  <c r="O10" i="7" s="1"/>
  <c r="R10" i="7"/>
  <c r="C15" i="7"/>
  <c r="P14" i="7"/>
  <c r="Q14" i="7"/>
  <c r="B14" i="7"/>
  <c r="D14" i="7"/>
  <c r="A15" i="7"/>
  <c r="G13" i="7"/>
  <c r="H13" i="7"/>
  <c r="L11" i="7"/>
  <c r="I12" i="7"/>
  <c r="J12" i="7"/>
  <c r="L12" i="7" s="1"/>
  <c r="J73" i="16" l="1"/>
  <c r="E74" i="16"/>
  <c r="F74" i="16" s="1"/>
  <c r="G74" i="16" s="1"/>
  <c r="H74" i="16" s="1"/>
  <c r="C75" i="16"/>
  <c r="H15" i="13"/>
  <c r="K15" i="13" s="1"/>
  <c r="G15" i="13"/>
  <c r="R10" i="13"/>
  <c r="N10" i="13"/>
  <c r="O10" i="13" s="1"/>
  <c r="J14" i="13"/>
  <c r="L14" i="13" s="1"/>
  <c r="I14" i="13"/>
  <c r="L12" i="13"/>
  <c r="R13" i="13"/>
  <c r="M11" i="13"/>
  <c r="B16" i="13"/>
  <c r="F16" i="13"/>
  <c r="P16" i="13"/>
  <c r="D16" i="13"/>
  <c r="E16" i="13"/>
  <c r="Q16" i="13"/>
  <c r="A17" i="13"/>
  <c r="C17" i="13"/>
  <c r="F15" i="11"/>
  <c r="S10" i="11"/>
  <c r="L11" i="11"/>
  <c r="B16" i="11"/>
  <c r="Q16" i="11"/>
  <c r="P16" i="11"/>
  <c r="E16" i="11"/>
  <c r="F16" i="11" s="1"/>
  <c r="D16" i="11"/>
  <c r="C17" i="11"/>
  <c r="A17" i="11"/>
  <c r="H13" i="11"/>
  <c r="G13" i="11"/>
  <c r="J14" i="11"/>
  <c r="L14" i="11" s="1"/>
  <c r="I14" i="11"/>
  <c r="F15" i="10"/>
  <c r="D16" i="10"/>
  <c r="E16" i="10" s="1"/>
  <c r="B16" i="10"/>
  <c r="Q16" i="10"/>
  <c r="P16" i="10"/>
  <c r="C17" i="10"/>
  <c r="A17" i="10"/>
  <c r="T10" i="10"/>
  <c r="R13" i="10"/>
  <c r="G14" i="10"/>
  <c r="H14" i="10"/>
  <c r="K14" i="10" s="1"/>
  <c r="J12" i="10"/>
  <c r="I12" i="10"/>
  <c r="M11" i="10"/>
  <c r="K12" i="10"/>
  <c r="H14" i="8"/>
  <c r="G14" i="8"/>
  <c r="F16" i="8"/>
  <c r="I15" i="8"/>
  <c r="J15" i="8"/>
  <c r="L15" i="8" s="1"/>
  <c r="R13" i="8"/>
  <c r="Q17" i="8"/>
  <c r="B17" i="8"/>
  <c r="A18" i="8"/>
  <c r="P17" i="8"/>
  <c r="D17" i="8"/>
  <c r="E17" i="8" s="1"/>
  <c r="F17" i="8" s="1"/>
  <c r="C18" i="8"/>
  <c r="T10" i="8"/>
  <c r="M11" i="7"/>
  <c r="M12" i="7" s="1"/>
  <c r="R11" i="7"/>
  <c r="K13" i="7"/>
  <c r="E14" i="7"/>
  <c r="F14" i="7" s="1"/>
  <c r="I13" i="7"/>
  <c r="J13" i="7"/>
  <c r="S10" i="7"/>
  <c r="R12" i="7"/>
  <c r="D15" i="7"/>
  <c r="E15" i="7" s="1"/>
  <c r="F15" i="7" s="1"/>
  <c r="C16" i="7"/>
  <c r="P15" i="7"/>
  <c r="Q15" i="7"/>
  <c r="B15" i="7"/>
  <c r="A16" i="7"/>
  <c r="J74" i="16" l="1"/>
  <c r="E75" i="16"/>
  <c r="F75" i="16" s="1"/>
  <c r="G75" i="16" s="1"/>
  <c r="H75" i="16" s="1"/>
  <c r="H16" i="13"/>
  <c r="K16" i="13" s="1"/>
  <c r="G16" i="13"/>
  <c r="S10" i="13"/>
  <c r="Q17" i="13"/>
  <c r="P17" i="13"/>
  <c r="D17" i="13"/>
  <c r="E17" i="13" s="1"/>
  <c r="F17" i="13" s="1"/>
  <c r="B17" i="13"/>
  <c r="C18" i="13"/>
  <c r="A18" i="13"/>
  <c r="N11" i="13"/>
  <c r="O11" i="13" s="1"/>
  <c r="M12" i="13"/>
  <c r="R12" i="13"/>
  <c r="R14" i="13"/>
  <c r="J15" i="13"/>
  <c r="L15" i="13" s="1"/>
  <c r="I15" i="13"/>
  <c r="H16" i="11"/>
  <c r="K16" i="11" s="1"/>
  <c r="G16" i="11"/>
  <c r="T10" i="11"/>
  <c r="D17" i="11"/>
  <c r="E17" i="11" s="1"/>
  <c r="F17" i="11" s="1"/>
  <c r="B17" i="11"/>
  <c r="Q17" i="11"/>
  <c r="P17" i="11"/>
  <c r="C18" i="11"/>
  <c r="A18" i="11"/>
  <c r="J13" i="11"/>
  <c r="I13" i="11"/>
  <c r="K13" i="11"/>
  <c r="R14" i="11"/>
  <c r="R11" i="11"/>
  <c r="S11" i="11" s="1"/>
  <c r="M11" i="11"/>
  <c r="H15" i="11"/>
  <c r="K15" i="11" s="1"/>
  <c r="G15" i="11"/>
  <c r="F16" i="10"/>
  <c r="L12" i="10"/>
  <c r="T11" i="10"/>
  <c r="J14" i="10"/>
  <c r="L14" i="10" s="1"/>
  <c r="I14" i="10"/>
  <c r="H15" i="10"/>
  <c r="G15" i="10"/>
  <c r="Q17" i="10"/>
  <c r="P17" i="10"/>
  <c r="B17" i="10"/>
  <c r="D17" i="10"/>
  <c r="E17" i="10" s="1"/>
  <c r="F17" i="10" s="1"/>
  <c r="C18" i="10"/>
  <c r="A18" i="10"/>
  <c r="N11" i="10"/>
  <c r="O11" i="10" s="1"/>
  <c r="H17" i="8"/>
  <c r="K17" i="8" s="1"/>
  <c r="G17" i="8"/>
  <c r="B18" i="8"/>
  <c r="P18" i="8"/>
  <c r="D18" i="8"/>
  <c r="E18" i="8" s="1"/>
  <c r="F18" i="8" s="1"/>
  <c r="C19" i="8"/>
  <c r="Q18" i="8"/>
  <c r="A19" i="8"/>
  <c r="R11" i="8"/>
  <c r="J14" i="8"/>
  <c r="I14" i="8"/>
  <c r="H16" i="8"/>
  <c r="K16" i="8" s="1"/>
  <c r="G16" i="8"/>
  <c r="R15" i="8"/>
  <c r="K14" i="8"/>
  <c r="G15" i="7"/>
  <c r="H15" i="7"/>
  <c r="K15" i="7" s="1"/>
  <c r="N12" i="7"/>
  <c r="O12" i="7" s="1"/>
  <c r="T10" i="7"/>
  <c r="S11" i="7"/>
  <c r="C17" i="7"/>
  <c r="P16" i="7"/>
  <c r="Q16" i="7"/>
  <c r="B16" i="7"/>
  <c r="D16" i="7"/>
  <c r="E16" i="7" s="1"/>
  <c r="F16" i="7" s="1"/>
  <c r="A17" i="7"/>
  <c r="N11" i="7"/>
  <c r="O11" i="7" s="1"/>
  <c r="L13" i="7"/>
  <c r="G14" i="7"/>
  <c r="H14" i="7"/>
  <c r="G17" i="13" l="1"/>
  <c r="H17" i="13"/>
  <c r="K17" i="13" s="1"/>
  <c r="T10" i="13"/>
  <c r="S11" i="13"/>
  <c r="R15" i="13"/>
  <c r="I16" i="13"/>
  <c r="J16" i="13"/>
  <c r="L16" i="13" s="1"/>
  <c r="P18" i="13"/>
  <c r="D18" i="13"/>
  <c r="B18" i="13"/>
  <c r="Q18" i="13"/>
  <c r="E18" i="13"/>
  <c r="F18" i="13" s="1"/>
  <c r="A19" i="13"/>
  <c r="C19" i="13"/>
  <c r="N12" i="13"/>
  <c r="O12" i="13" s="1"/>
  <c r="M13" i="13"/>
  <c r="H17" i="11"/>
  <c r="K17" i="11" s="1"/>
  <c r="G17" i="11"/>
  <c r="T11" i="11"/>
  <c r="S12" i="11"/>
  <c r="J15" i="11"/>
  <c r="L15" i="11" s="1"/>
  <c r="I15" i="11"/>
  <c r="N11" i="11"/>
  <c r="O11" i="11" s="1"/>
  <c r="M12" i="11"/>
  <c r="L13" i="11"/>
  <c r="J16" i="11"/>
  <c r="L16" i="11" s="1"/>
  <c r="I16" i="11"/>
  <c r="B18" i="11"/>
  <c r="Q18" i="11"/>
  <c r="P18" i="11"/>
  <c r="D18" i="11"/>
  <c r="E18" i="11" s="1"/>
  <c r="F18" i="11" s="1"/>
  <c r="C19" i="11"/>
  <c r="A19" i="11"/>
  <c r="H17" i="10"/>
  <c r="K17" i="10" s="1"/>
  <c r="G17" i="10"/>
  <c r="M12" i="10"/>
  <c r="R12" i="10"/>
  <c r="K15" i="10"/>
  <c r="R14" i="10"/>
  <c r="G16" i="10"/>
  <c r="H16" i="10"/>
  <c r="K16" i="10" s="1"/>
  <c r="I15" i="10"/>
  <c r="J15" i="10"/>
  <c r="P18" i="10"/>
  <c r="D18" i="10"/>
  <c r="E18" i="10" s="1"/>
  <c r="F18" i="10" s="1"/>
  <c r="Q18" i="10"/>
  <c r="B18" i="10"/>
  <c r="C19" i="10"/>
  <c r="A19" i="10"/>
  <c r="H18" i="8"/>
  <c r="K18" i="8" s="1"/>
  <c r="G18" i="8"/>
  <c r="M12" i="8"/>
  <c r="J16" i="8"/>
  <c r="L16" i="8" s="1"/>
  <c r="I16" i="8"/>
  <c r="B19" i="8"/>
  <c r="D19" i="8"/>
  <c r="E19" i="8" s="1"/>
  <c r="F19" i="8" s="1"/>
  <c r="Q19" i="8"/>
  <c r="P19" i="8"/>
  <c r="A20" i="8"/>
  <c r="C20" i="8"/>
  <c r="J17" i="8"/>
  <c r="L17" i="8" s="1"/>
  <c r="I17" i="8"/>
  <c r="L14" i="8"/>
  <c r="G16" i="7"/>
  <c r="H16" i="7"/>
  <c r="K16" i="7" s="1"/>
  <c r="M13" i="7"/>
  <c r="R13" i="7"/>
  <c r="T11" i="7"/>
  <c r="S12" i="7"/>
  <c r="D17" i="7"/>
  <c r="E17" i="7" s="1"/>
  <c r="F17" i="7" s="1"/>
  <c r="C18" i="7"/>
  <c r="P17" i="7"/>
  <c r="Q17" i="7"/>
  <c r="B17" i="7"/>
  <c r="A18" i="7"/>
  <c r="K14" i="7"/>
  <c r="I14" i="7"/>
  <c r="J14" i="7"/>
  <c r="I15" i="7"/>
  <c r="J15" i="7"/>
  <c r="L15" i="7" s="1"/>
  <c r="H18" i="13" l="1"/>
  <c r="K18" i="13" s="1"/>
  <c r="G18" i="13"/>
  <c r="B19" i="13"/>
  <c r="Q19" i="13"/>
  <c r="D19" i="13"/>
  <c r="E19" i="13" s="1"/>
  <c r="F19" i="13" s="1"/>
  <c r="P19" i="13"/>
  <c r="A20" i="13"/>
  <c r="C20" i="13"/>
  <c r="N13" i="13"/>
  <c r="O13" i="13" s="1"/>
  <c r="M14" i="13"/>
  <c r="S12" i="13"/>
  <c r="T11" i="13"/>
  <c r="J17" i="13"/>
  <c r="I17" i="13"/>
  <c r="R16" i="13"/>
  <c r="H18" i="11"/>
  <c r="K18" i="11" s="1"/>
  <c r="G18" i="11"/>
  <c r="B19" i="11"/>
  <c r="Q19" i="11"/>
  <c r="P19" i="11"/>
  <c r="D19" i="11"/>
  <c r="E19" i="11" s="1"/>
  <c r="F19" i="11" s="1"/>
  <c r="A20" i="11"/>
  <c r="C20" i="11"/>
  <c r="N12" i="11"/>
  <c r="O12" i="11" s="1"/>
  <c r="J17" i="11"/>
  <c r="L17" i="11" s="1"/>
  <c r="I17" i="11"/>
  <c r="T12" i="11"/>
  <c r="R16" i="11"/>
  <c r="M13" i="11"/>
  <c r="R13" i="11"/>
  <c r="S13" i="11" s="1"/>
  <c r="R15" i="11"/>
  <c r="G18" i="10"/>
  <c r="H18" i="10"/>
  <c r="K18" i="10" s="1"/>
  <c r="L15" i="10"/>
  <c r="J16" i="10"/>
  <c r="L16" i="10" s="1"/>
  <c r="I16" i="10"/>
  <c r="N12" i="10"/>
  <c r="O12" i="10" s="1"/>
  <c r="M13" i="10"/>
  <c r="S12" i="10"/>
  <c r="I17" i="10"/>
  <c r="J17" i="10"/>
  <c r="L17" i="10" s="1"/>
  <c r="B19" i="10"/>
  <c r="P19" i="10"/>
  <c r="D19" i="10"/>
  <c r="E19" i="10" s="1"/>
  <c r="F19" i="10" s="1"/>
  <c r="Q19" i="10"/>
  <c r="A20" i="10"/>
  <c r="C20" i="10"/>
  <c r="G19" i="8"/>
  <c r="H19" i="8"/>
  <c r="K19" i="8" s="1"/>
  <c r="N12" i="8"/>
  <c r="O12" i="8" s="1"/>
  <c r="M13" i="8"/>
  <c r="M14" i="8" s="1"/>
  <c r="B20" i="8"/>
  <c r="P20" i="8"/>
  <c r="Q20" i="8"/>
  <c r="D20" i="8"/>
  <c r="E20" i="8" s="1"/>
  <c r="F20" i="8" s="1"/>
  <c r="A21" i="8"/>
  <c r="C21" i="8"/>
  <c r="R14" i="8"/>
  <c r="R17" i="8"/>
  <c r="S12" i="8"/>
  <c r="J18" i="8"/>
  <c r="L18" i="8" s="1"/>
  <c r="I18" i="8"/>
  <c r="R16" i="8"/>
  <c r="T12" i="7"/>
  <c r="S13" i="7"/>
  <c r="C19" i="7"/>
  <c r="P18" i="7"/>
  <c r="Q18" i="7"/>
  <c r="B18" i="7"/>
  <c r="D18" i="7"/>
  <c r="E18" i="7" s="1"/>
  <c r="F18" i="7" s="1"/>
  <c r="A19" i="7"/>
  <c r="R15" i="7"/>
  <c r="G17" i="7"/>
  <c r="H17" i="7"/>
  <c r="L14" i="7"/>
  <c r="N13" i="7"/>
  <c r="O13" i="7" s="1"/>
  <c r="I16" i="7"/>
  <c r="J16" i="7"/>
  <c r="L16" i="7" s="1"/>
  <c r="H19" i="13" l="1"/>
  <c r="K19" i="13" s="1"/>
  <c r="G19" i="13"/>
  <c r="L17" i="13"/>
  <c r="T12" i="13"/>
  <c r="S13" i="13"/>
  <c r="Q20" i="13"/>
  <c r="P20" i="13"/>
  <c r="D20" i="13"/>
  <c r="E20" i="13" s="1"/>
  <c r="F20" i="13" s="1"/>
  <c r="B20" i="13"/>
  <c r="A21" i="13"/>
  <c r="C21" i="13"/>
  <c r="N14" i="13"/>
  <c r="M15" i="13"/>
  <c r="J18" i="13"/>
  <c r="L18" i="13" s="1"/>
  <c r="I18" i="13"/>
  <c r="H19" i="11"/>
  <c r="K19" i="11" s="1"/>
  <c r="G19" i="11"/>
  <c r="Q20" i="11"/>
  <c r="P20" i="11"/>
  <c r="D20" i="11"/>
  <c r="E20" i="11" s="1"/>
  <c r="F20" i="11" s="1"/>
  <c r="B20" i="11"/>
  <c r="A21" i="11"/>
  <c r="C21" i="11"/>
  <c r="T13" i="11"/>
  <c r="S14" i="11"/>
  <c r="N13" i="11"/>
  <c r="O13" i="11" s="1"/>
  <c r="M14" i="11"/>
  <c r="J18" i="11"/>
  <c r="L18" i="11" s="1"/>
  <c r="I18" i="11"/>
  <c r="R17" i="11"/>
  <c r="G19" i="10"/>
  <c r="H19" i="10"/>
  <c r="K19" i="10" s="1"/>
  <c r="R17" i="10"/>
  <c r="R16" i="10"/>
  <c r="T12" i="10"/>
  <c r="S13" i="10"/>
  <c r="R15" i="10"/>
  <c r="P20" i="10"/>
  <c r="B20" i="10"/>
  <c r="D20" i="10"/>
  <c r="E20" i="10" s="1"/>
  <c r="F20" i="10" s="1"/>
  <c r="Q20" i="10"/>
  <c r="C21" i="10"/>
  <c r="A21" i="10"/>
  <c r="N13" i="10"/>
  <c r="O13" i="10" s="1"/>
  <c r="M14" i="10"/>
  <c r="M15" i="10" s="1"/>
  <c r="I18" i="10"/>
  <c r="J18" i="10"/>
  <c r="L18" i="10" s="1"/>
  <c r="H20" i="8"/>
  <c r="K20" i="8" s="1"/>
  <c r="G20" i="8"/>
  <c r="N13" i="8"/>
  <c r="B21" i="8"/>
  <c r="D21" i="8"/>
  <c r="E21" i="8" s="1"/>
  <c r="F21" i="8" s="1"/>
  <c r="Q21" i="8"/>
  <c r="P21" i="8"/>
  <c r="C22" i="8"/>
  <c r="A22" i="8"/>
  <c r="R18" i="8"/>
  <c r="N14" i="8"/>
  <c r="O14" i="8" s="1"/>
  <c r="M15" i="8"/>
  <c r="S13" i="8"/>
  <c r="T12" i="8"/>
  <c r="J19" i="8"/>
  <c r="L19" i="8" s="1"/>
  <c r="I19" i="8"/>
  <c r="D19" i="7"/>
  <c r="E19" i="7" s="1"/>
  <c r="F19" i="7" s="1"/>
  <c r="C20" i="7"/>
  <c r="P19" i="7"/>
  <c r="Q19" i="7"/>
  <c r="B19" i="7"/>
  <c r="A20" i="7"/>
  <c r="G18" i="7"/>
  <c r="H18" i="7"/>
  <c r="K18" i="7" s="1"/>
  <c r="K17" i="7"/>
  <c r="T13" i="7"/>
  <c r="R14" i="7"/>
  <c r="S14" i="7" s="1"/>
  <c r="M14" i="7"/>
  <c r="R16" i="7"/>
  <c r="I17" i="7"/>
  <c r="J17" i="7"/>
  <c r="G20" i="13" l="1"/>
  <c r="H20" i="13"/>
  <c r="K20" i="13" s="1"/>
  <c r="N15" i="13"/>
  <c r="O15" i="13" s="1"/>
  <c r="M16" i="13"/>
  <c r="M17" i="13" s="1"/>
  <c r="R18" i="13"/>
  <c r="O14" i="13"/>
  <c r="R17" i="13"/>
  <c r="S14" i="13"/>
  <c r="T13" i="13"/>
  <c r="I19" i="13"/>
  <c r="J19" i="13"/>
  <c r="L19" i="13" s="1"/>
  <c r="P21" i="13"/>
  <c r="D21" i="13"/>
  <c r="E21" i="13" s="1"/>
  <c r="F21" i="13" s="1"/>
  <c r="B21" i="13"/>
  <c r="Q21" i="13"/>
  <c r="A22" i="13"/>
  <c r="C22" i="13"/>
  <c r="H20" i="11"/>
  <c r="K20" i="11" s="1"/>
  <c r="G20" i="11"/>
  <c r="B21" i="11"/>
  <c r="P21" i="11"/>
  <c r="D21" i="11"/>
  <c r="E21" i="11" s="1"/>
  <c r="F21" i="11" s="1"/>
  <c r="Q21" i="11"/>
  <c r="A22" i="11"/>
  <c r="C22" i="11"/>
  <c r="S15" i="11"/>
  <c r="T14" i="11"/>
  <c r="J19" i="11"/>
  <c r="L19" i="11" s="1"/>
  <c r="I19" i="11"/>
  <c r="R18" i="11"/>
  <c r="N14" i="11"/>
  <c r="O14" i="11" s="1"/>
  <c r="M15" i="11"/>
  <c r="N15" i="10"/>
  <c r="O15" i="10" s="1"/>
  <c r="M16" i="10"/>
  <c r="H20" i="10"/>
  <c r="K20" i="10" s="1"/>
  <c r="G20" i="10"/>
  <c r="R18" i="10"/>
  <c r="N14" i="10"/>
  <c r="O14" i="10" s="1"/>
  <c r="B21" i="10"/>
  <c r="E21" i="10"/>
  <c r="F21" i="10" s="1"/>
  <c r="D21" i="10"/>
  <c r="P21" i="10"/>
  <c r="Q21" i="10"/>
  <c r="A22" i="10"/>
  <c r="C22" i="10"/>
  <c r="T13" i="10"/>
  <c r="S14" i="10"/>
  <c r="J19" i="10"/>
  <c r="L19" i="10" s="1"/>
  <c r="I19" i="10"/>
  <c r="G21" i="8"/>
  <c r="H21" i="8"/>
  <c r="K21" i="8" s="1"/>
  <c r="R19" i="8"/>
  <c r="B22" i="8"/>
  <c r="P22" i="8"/>
  <c r="Q22" i="8"/>
  <c r="D22" i="8"/>
  <c r="E22" i="8" s="1"/>
  <c r="F22" i="8" s="1"/>
  <c r="C23" i="8"/>
  <c r="A23" i="8"/>
  <c r="J20" i="8"/>
  <c r="L20" i="8" s="1"/>
  <c r="I20" i="8"/>
  <c r="O13" i="8"/>
  <c r="S14" i="8"/>
  <c r="T13" i="8"/>
  <c r="N15" i="8"/>
  <c r="O15" i="8" s="1"/>
  <c r="M16" i="8"/>
  <c r="T14" i="7"/>
  <c r="S15" i="7"/>
  <c r="G19" i="7"/>
  <c r="H19" i="7"/>
  <c r="K19" i="7" s="1"/>
  <c r="N14" i="7"/>
  <c r="O14" i="7" s="1"/>
  <c r="M15" i="7"/>
  <c r="C21" i="7"/>
  <c r="P20" i="7"/>
  <c r="Q20" i="7"/>
  <c r="B20" i="7"/>
  <c r="D20" i="7"/>
  <c r="E20" i="7" s="1"/>
  <c r="F20" i="7" s="1"/>
  <c r="A21" i="7"/>
  <c r="L17" i="7"/>
  <c r="I18" i="7"/>
  <c r="J18" i="7"/>
  <c r="L18" i="7" s="1"/>
  <c r="H21" i="13" l="1"/>
  <c r="K21" i="13" s="1"/>
  <c r="G21" i="13"/>
  <c r="N17" i="13"/>
  <c r="O17" i="13" s="1"/>
  <c r="B22" i="13"/>
  <c r="F22" i="13"/>
  <c r="Q22" i="13"/>
  <c r="E22" i="13"/>
  <c r="P22" i="13"/>
  <c r="D22" i="13"/>
  <c r="C23" i="13"/>
  <c r="A23" i="13"/>
  <c r="N16" i="13"/>
  <c r="O16" i="13" s="1"/>
  <c r="T14" i="13"/>
  <c r="S15" i="13"/>
  <c r="M18" i="13"/>
  <c r="J20" i="13"/>
  <c r="L20" i="13" s="1"/>
  <c r="I20" i="13"/>
  <c r="R19" i="13"/>
  <c r="G21" i="11"/>
  <c r="H21" i="11"/>
  <c r="K21" i="11" s="1"/>
  <c r="D22" i="11"/>
  <c r="E22" i="11" s="1"/>
  <c r="F22" i="11" s="1"/>
  <c r="B22" i="11"/>
  <c r="Q22" i="11"/>
  <c r="P22" i="11"/>
  <c r="C23" i="11"/>
  <c r="A23" i="11"/>
  <c r="S16" i="11"/>
  <c r="T15" i="11"/>
  <c r="R19" i="11"/>
  <c r="I20" i="11"/>
  <c r="J20" i="11"/>
  <c r="L20" i="11" s="1"/>
  <c r="N15" i="11"/>
  <c r="O15" i="11" s="1"/>
  <c r="M16" i="11"/>
  <c r="G21" i="10"/>
  <c r="H21" i="10"/>
  <c r="K21" i="10" s="1"/>
  <c r="B22" i="10"/>
  <c r="Q22" i="10"/>
  <c r="E22" i="10"/>
  <c r="F22" i="10" s="1"/>
  <c r="P22" i="10"/>
  <c r="D22" i="10"/>
  <c r="A23" i="10"/>
  <c r="C23" i="10"/>
  <c r="I20" i="10"/>
  <c r="J20" i="10"/>
  <c r="L20" i="10" s="1"/>
  <c r="N16" i="10"/>
  <c r="O16" i="10" s="1"/>
  <c r="M17" i="10"/>
  <c r="R19" i="10"/>
  <c r="T14" i="10"/>
  <c r="S15" i="10"/>
  <c r="H22" i="8"/>
  <c r="K22" i="8" s="1"/>
  <c r="G22" i="8"/>
  <c r="N16" i="8"/>
  <c r="O16" i="8" s="1"/>
  <c r="M17" i="8"/>
  <c r="R20" i="8"/>
  <c r="S15" i="8"/>
  <c r="T14" i="8"/>
  <c r="J21" i="8"/>
  <c r="L21" i="8" s="1"/>
  <c r="I21" i="8"/>
  <c r="B23" i="8"/>
  <c r="D23" i="8"/>
  <c r="E23" i="8" s="1"/>
  <c r="F23" i="8" s="1"/>
  <c r="Q23" i="8"/>
  <c r="P23" i="8"/>
  <c r="A24" i="8"/>
  <c r="C24" i="8"/>
  <c r="G20" i="7"/>
  <c r="H20" i="7"/>
  <c r="K20" i="7" s="1"/>
  <c r="N15" i="7"/>
  <c r="O15" i="7" s="1"/>
  <c r="M16" i="7"/>
  <c r="M17" i="7" s="1"/>
  <c r="M18" i="7" s="1"/>
  <c r="R17" i="7"/>
  <c r="D21" i="7"/>
  <c r="E21" i="7" s="1"/>
  <c r="F21" i="7" s="1"/>
  <c r="A22" i="7"/>
  <c r="C22" i="7"/>
  <c r="P21" i="7"/>
  <c r="Q21" i="7"/>
  <c r="B21" i="7"/>
  <c r="I19" i="7"/>
  <c r="J19" i="7"/>
  <c r="L19" i="7" s="1"/>
  <c r="R18" i="7"/>
  <c r="T15" i="7"/>
  <c r="S16" i="7"/>
  <c r="R20" i="13" l="1"/>
  <c r="M20" i="13"/>
  <c r="H22" i="13"/>
  <c r="K22" i="13" s="1"/>
  <c r="G22" i="13"/>
  <c r="N18" i="13"/>
  <c r="O18" i="13" s="1"/>
  <c r="Q23" i="13"/>
  <c r="E23" i="13"/>
  <c r="F23" i="13" s="1"/>
  <c r="P23" i="13"/>
  <c r="D23" i="13"/>
  <c r="B23" i="13"/>
  <c r="A24" i="13"/>
  <c r="C24" i="13"/>
  <c r="S16" i="13"/>
  <c r="T15" i="13"/>
  <c r="J21" i="13"/>
  <c r="L21" i="13" s="1"/>
  <c r="I21" i="13"/>
  <c r="M19" i="13"/>
  <c r="H22" i="11"/>
  <c r="K22" i="11" s="1"/>
  <c r="G22" i="11"/>
  <c r="T16" i="11"/>
  <c r="S17" i="11"/>
  <c r="R20" i="11"/>
  <c r="N16" i="11"/>
  <c r="O16" i="11" s="1"/>
  <c r="M17" i="11"/>
  <c r="B23" i="11"/>
  <c r="D23" i="11"/>
  <c r="E23" i="11" s="1"/>
  <c r="F23" i="11" s="1"/>
  <c r="Q23" i="11"/>
  <c r="P23" i="11"/>
  <c r="C24" i="11"/>
  <c r="A24" i="11"/>
  <c r="J21" i="11"/>
  <c r="L21" i="11" s="1"/>
  <c r="I21" i="11"/>
  <c r="H22" i="10"/>
  <c r="K22" i="10" s="1"/>
  <c r="G22" i="10"/>
  <c r="R20" i="10"/>
  <c r="J21" i="10"/>
  <c r="L21" i="10" s="1"/>
  <c r="I21" i="10"/>
  <c r="B23" i="10"/>
  <c r="P23" i="10"/>
  <c r="D23" i="10"/>
  <c r="Q23" i="10"/>
  <c r="E23" i="10"/>
  <c r="F23" i="10" s="1"/>
  <c r="C24" i="10"/>
  <c r="A24" i="10"/>
  <c r="N17" i="10"/>
  <c r="O17" i="10" s="1"/>
  <c r="M18" i="10"/>
  <c r="T15" i="10"/>
  <c r="S16" i="10"/>
  <c r="G23" i="8"/>
  <c r="H23" i="8"/>
  <c r="K23" i="8" s="1"/>
  <c r="N17" i="8"/>
  <c r="O17" i="8" s="1"/>
  <c r="M18" i="8"/>
  <c r="J22" i="8"/>
  <c r="L22" i="8" s="1"/>
  <c r="I22" i="8"/>
  <c r="B24" i="8"/>
  <c r="P24" i="8"/>
  <c r="D24" i="8"/>
  <c r="E24" i="8" s="1"/>
  <c r="F24" i="8" s="1"/>
  <c r="Q24" i="8"/>
  <c r="A25" i="8"/>
  <c r="C25" i="8"/>
  <c r="R21" i="8"/>
  <c r="T15" i="8"/>
  <c r="S16" i="8"/>
  <c r="N18" i="7"/>
  <c r="O18" i="7" s="1"/>
  <c r="N17" i="7"/>
  <c r="O17" i="7" s="1"/>
  <c r="G21" i="7"/>
  <c r="H21" i="7"/>
  <c r="K21" i="7" s="1"/>
  <c r="R19" i="7"/>
  <c r="M19" i="7"/>
  <c r="C23" i="7"/>
  <c r="P22" i="7"/>
  <c r="Q22" i="7"/>
  <c r="B22" i="7"/>
  <c r="D22" i="7"/>
  <c r="E22" i="7" s="1"/>
  <c r="F22" i="7" s="1"/>
  <c r="A23" i="7"/>
  <c r="N16" i="7"/>
  <c r="O16" i="7" s="1"/>
  <c r="S17" i="7"/>
  <c r="T16" i="7"/>
  <c r="I20" i="7"/>
  <c r="J20" i="7"/>
  <c r="L20" i="7" s="1"/>
  <c r="G23" i="13" l="1"/>
  <c r="H23" i="13"/>
  <c r="K23" i="13" s="1"/>
  <c r="R21" i="13"/>
  <c r="M21" i="13"/>
  <c r="I22" i="13"/>
  <c r="J22" i="13"/>
  <c r="L22" i="13" s="1"/>
  <c r="P24" i="13"/>
  <c r="D24" i="13"/>
  <c r="E24" i="13" s="1"/>
  <c r="F24" i="13" s="1"/>
  <c r="B24" i="13"/>
  <c r="Q24" i="13"/>
  <c r="A25" i="13"/>
  <c r="C25" i="13"/>
  <c r="S17" i="13"/>
  <c r="T16" i="13"/>
  <c r="N20" i="13"/>
  <c r="O20" i="13" s="1"/>
  <c r="N19" i="13"/>
  <c r="O19" i="13" s="1"/>
  <c r="H23" i="11"/>
  <c r="K23" i="11" s="1"/>
  <c r="G23" i="11"/>
  <c r="B24" i="11"/>
  <c r="Q24" i="11"/>
  <c r="P24" i="11"/>
  <c r="D24" i="11"/>
  <c r="E24" i="11" s="1"/>
  <c r="F24" i="11" s="1"/>
  <c r="A25" i="11"/>
  <c r="C25" i="11"/>
  <c r="R21" i="11"/>
  <c r="N17" i="11"/>
  <c r="O17" i="11" s="1"/>
  <c r="M18" i="11"/>
  <c r="J22" i="11"/>
  <c r="L22" i="11" s="1"/>
  <c r="I22" i="11"/>
  <c r="T17" i="11"/>
  <c r="S18" i="11"/>
  <c r="G23" i="10"/>
  <c r="H23" i="10"/>
  <c r="K23" i="10" s="1"/>
  <c r="S17" i="10"/>
  <c r="T16" i="10"/>
  <c r="N18" i="10"/>
  <c r="O18" i="10" s="1"/>
  <c r="M19" i="10"/>
  <c r="Q24" i="10"/>
  <c r="D24" i="10"/>
  <c r="E24" i="10" s="1"/>
  <c r="F24" i="10" s="1"/>
  <c r="B24" i="10"/>
  <c r="P24" i="10"/>
  <c r="C25" i="10"/>
  <c r="A25" i="10"/>
  <c r="I22" i="10"/>
  <c r="J22" i="10"/>
  <c r="L22" i="10" s="1"/>
  <c r="R21" i="10"/>
  <c r="H24" i="8"/>
  <c r="K24" i="8" s="1"/>
  <c r="G24" i="8"/>
  <c r="N18" i="8"/>
  <c r="O18" i="8" s="1"/>
  <c r="M19" i="8"/>
  <c r="R22" i="8"/>
  <c r="T16" i="8"/>
  <c r="S17" i="8"/>
  <c r="B25" i="8"/>
  <c r="D25" i="8"/>
  <c r="E25" i="8" s="1"/>
  <c r="F25" i="8" s="1"/>
  <c r="Q25" i="8"/>
  <c r="P25" i="8"/>
  <c r="A26" i="8"/>
  <c r="C26" i="8"/>
  <c r="J23" i="8"/>
  <c r="L23" i="8" s="1"/>
  <c r="I23" i="8"/>
  <c r="G22" i="7"/>
  <c r="H22" i="7"/>
  <c r="K22" i="7" s="1"/>
  <c r="N19" i="7"/>
  <c r="O19" i="7" s="1"/>
  <c r="S18" i="7"/>
  <c r="T17" i="7"/>
  <c r="I21" i="7"/>
  <c r="J21" i="7"/>
  <c r="L21" i="7" s="1"/>
  <c r="D23" i="7"/>
  <c r="E23" i="7" s="1"/>
  <c r="F23" i="7" s="1"/>
  <c r="A24" i="7"/>
  <c r="C24" i="7"/>
  <c r="P23" i="7"/>
  <c r="Q23" i="7"/>
  <c r="B23" i="7"/>
  <c r="M20" i="7"/>
  <c r="R20" i="7"/>
  <c r="H24" i="13" l="1"/>
  <c r="K24" i="13" s="1"/>
  <c r="G24" i="13"/>
  <c r="B25" i="13"/>
  <c r="Q25" i="13"/>
  <c r="E25" i="13"/>
  <c r="F25" i="13" s="1"/>
  <c r="P25" i="13"/>
  <c r="D25" i="13"/>
  <c r="C26" i="13"/>
  <c r="A26" i="13"/>
  <c r="N21" i="13"/>
  <c r="O21" i="13" s="1"/>
  <c r="T17" i="13"/>
  <c r="S18" i="13"/>
  <c r="M22" i="13"/>
  <c r="R22" i="13"/>
  <c r="J23" i="13"/>
  <c r="L23" i="13" s="1"/>
  <c r="I23" i="13"/>
  <c r="H24" i="11"/>
  <c r="K24" i="11" s="1"/>
  <c r="G24" i="11"/>
  <c r="B25" i="11"/>
  <c r="Q25" i="11"/>
  <c r="P25" i="11"/>
  <c r="D25" i="11"/>
  <c r="E25" i="11" s="1"/>
  <c r="F25" i="11" s="1"/>
  <c r="A26" i="11"/>
  <c r="C26" i="11"/>
  <c r="T18" i="11"/>
  <c r="S19" i="11"/>
  <c r="N18" i="11"/>
  <c r="O18" i="11" s="1"/>
  <c r="M19" i="11"/>
  <c r="J23" i="11"/>
  <c r="L23" i="11" s="1"/>
  <c r="I23" i="11"/>
  <c r="R22" i="11"/>
  <c r="H24" i="10"/>
  <c r="K24" i="10" s="1"/>
  <c r="G24" i="10"/>
  <c r="S18" i="10"/>
  <c r="T17" i="10"/>
  <c r="N19" i="10"/>
  <c r="O19" i="10" s="1"/>
  <c r="M20" i="10"/>
  <c r="B25" i="10"/>
  <c r="P25" i="10"/>
  <c r="D25" i="10"/>
  <c r="E25" i="10"/>
  <c r="F25" i="10" s="1"/>
  <c r="Q25" i="10"/>
  <c r="C26" i="10"/>
  <c r="A26" i="10"/>
  <c r="R22" i="10"/>
  <c r="J23" i="10"/>
  <c r="L23" i="10" s="1"/>
  <c r="I23" i="10"/>
  <c r="G25" i="8"/>
  <c r="H25" i="8"/>
  <c r="K25" i="8" s="1"/>
  <c r="N19" i="8"/>
  <c r="O19" i="8" s="1"/>
  <c r="M20" i="8"/>
  <c r="R23" i="8"/>
  <c r="B26" i="8"/>
  <c r="P26" i="8"/>
  <c r="Q26" i="8"/>
  <c r="D26" i="8"/>
  <c r="E26" i="8" s="1"/>
  <c r="F26" i="8" s="1"/>
  <c r="C27" i="8"/>
  <c r="A27" i="8"/>
  <c r="T17" i="8"/>
  <c r="S18" i="8"/>
  <c r="J24" i="8"/>
  <c r="L24" i="8" s="1"/>
  <c r="I24" i="8"/>
  <c r="N20" i="7"/>
  <c r="O20" i="7" s="1"/>
  <c r="C25" i="7"/>
  <c r="P24" i="7"/>
  <c r="Q24" i="7"/>
  <c r="B24" i="7"/>
  <c r="D24" i="7"/>
  <c r="E24" i="7" s="1"/>
  <c r="F24" i="7" s="1"/>
  <c r="A25" i="7"/>
  <c r="T18" i="7"/>
  <c r="S19" i="7"/>
  <c r="G23" i="7"/>
  <c r="H23" i="7"/>
  <c r="K23" i="7" s="1"/>
  <c r="R21" i="7"/>
  <c r="M21" i="7"/>
  <c r="I22" i="7"/>
  <c r="J22" i="7"/>
  <c r="L22" i="7" s="1"/>
  <c r="H25" i="13" l="1"/>
  <c r="K25" i="13" s="1"/>
  <c r="G25" i="13"/>
  <c r="T18" i="13"/>
  <c r="S19" i="13"/>
  <c r="R23" i="13"/>
  <c r="M23" i="13"/>
  <c r="J24" i="13"/>
  <c r="L24" i="13" s="1"/>
  <c r="I24" i="13"/>
  <c r="N22" i="13"/>
  <c r="O22" i="13" s="1"/>
  <c r="P26" i="13"/>
  <c r="D26" i="13"/>
  <c r="E26" i="13" s="1"/>
  <c r="F26" i="13" s="1"/>
  <c r="Q26" i="13"/>
  <c r="B26" i="13"/>
  <c r="C27" i="13"/>
  <c r="A27" i="13"/>
  <c r="H25" i="11"/>
  <c r="K25" i="11" s="1"/>
  <c r="G25" i="11"/>
  <c r="R23" i="11"/>
  <c r="T19" i="11"/>
  <c r="S20" i="11"/>
  <c r="J24" i="11"/>
  <c r="L24" i="11" s="1"/>
  <c r="I24" i="11"/>
  <c r="Q26" i="11"/>
  <c r="P26" i="11"/>
  <c r="D26" i="11"/>
  <c r="E26" i="11" s="1"/>
  <c r="F26" i="11" s="1"/>
  <c r="B26" i="11"/>
  <c r="C27" i="11"/>
  <c r="A27" i="11"/>
  <c r="N19" i="11"/>
  <c r="O19" i="11" s="1"/>
  <c r="M20" i="11"/>
  <c r="G25" i="10"/>
  <c r="H25" i="10"/>
  <c r="K25" i="10" s="1"/>
  <c r="N20" i="10"/>
  <c r="O20" i="10" s="1"/>
  <c r="M21" i="10"/>
  <c r="T18" i="10"/>
  <c r="S19" i="10"/>
  <c r="D26" i="10"/>
  <c r="E26" i="10" s="1"/>
  <c r="F26" i="10" s="1"/>
  <c r="B26" i="10"/>
  <c r="Q26" i="10"/>
  <c r="P26" i="10"/>
  <c r="C27" i="10"/>
  <c r="A27" i="10"/>
  <c r="I24" i="10"/>
  <c r="J24" i="10"/>
  <c r="L24" i="10" s="1"/>
  <c r="R23" i="10"/>
  <c r="H26" i="8"/>
  <c r="K26" i="8" s="1"/>
  <c r="G26" i="8"/>
  <c r="R24" i="8"/>
  <c r="S19" i="8"/>
  <c r="T18" i="8"/>
  <c r="N20" i="8"/>
  <c r="O20" i="8" s="1"/>
  <c r="M21" i="8"/>
  <c r="B27" i="8"/>
  <c r="D27" i="8"/>
  <c r="E27" i="8" s="1"/>
  <c r="F27" i="8" s="1"/>
  <c r="Q27" i="8"/>
  <c r="P27" i="8"/>
  <c r="A28" i="8"/>
  <c r="C28" i="8"/>
  <c r="J25" i="8"/>
  <c r="L25" i="8" s="1"/>
  <c r="I25" i="8"/>
  <c r="T19" i="7"/>
  <c r="S20" i="7"/>
  <c r="G24" i="7"/>
  <c r="H24" i="7"/>
  <c r="K24" i="7" s="1"/>
  <c r="N21" i="7"/>
  <c r="O21" i="7" s="1"/>
  <c r="I23" i="7"/>
  <c r="J23" i="7"/>
  <c r="L23" i="7" s="1"/>
  <c r="M22" i="7"/>
  <c r="R22" i="7"/>
  <c r="D25" i="7"/>
  <c r="E25" i="7" s="1"/>
  <c r="F25" i="7" s="1"/>
  <c r="A26" i="7"/>
  <c r="C26" i="7"/>
  <c r="P25" i="7"/>
  <c r="Q25" i="7"/>
  <c r="B25" i="7"/>
  <c r="H26" i="13" l="1"/>
  <c r="K26" i="13" s="1"/>
  <c r="G26" i="13"/>
  <c r="R24" i="13"/>
  <c r="M24" i="13"/>
  <c r="N23" i="13"/>
  <c r="O23" i="13" s="1"/>
  <c r="I25" i="13"/>
  <c r="J25" i="13"/>
  <c r="L25" i="13" s="1"/>
  <c r="B27" i="13"/>
  <c r="Q27" i="13"/>
  <c r="D27" i="13"/>
  <c r="E27" i="13" s="1"/>
  <c r="F27" i="13" s="1"/>
  <c r="P27" i="13"/>
  <c r="C28" i="13"/>
  <c r="A28" i="13"/>
  <c r="T19" i="13"/>
  <c r="S20" i="13"/>
  <c r="H26" i="11"/>
  <c r="K26" i="11" s="1"/>
  <c r="G26" i="11"/>
  <c r="S21" i="11"/>
  <c r="T20" i="11"/>
  <c r="N20" i="11"/>
  <c r="O20" i="11" s="1"/>
  <c r="M21" i="11"/>
  <c r="R24" i="11"/>
  <c r="J25" i="11"/>
  <c r="L25" i="11" s="1"/>
  <c r="I25" i="11"/>
  <c r="B27" i="11"/>
  <c r="D27" i="11"/>
  <c r="E27" i="11" s="1"/>
  <c r="F27" i="11" s="1"/>
  <c r="Q27" i="11"/>
  <c r="P27" i="11"/>
  <c r="C28" i="11"/>
  <c r="A28" i="11"/>
  <c r="H26" i="10"/>
  <c r="K26" i="10" s="1"/>
  <c r="G26" i="10"/>
  <c r="R24" i="10"/>
  <c r="T19" i="10"/>
  <c r="S20" i="10"/>
  <c r="N21" i="10"/>
  <c r="O21" i="10" s="1"/>
  <c r="M22" i="10"/>
  <c r="B27" i="10"/>
  <c r="D27" i="10"/>
  <c r="E27" i="10" s="1"/>
  <c r="F27" i="10" s="1"/>
  <c r="Q27" i="10"/>
  <c r="P27" i="10"/>
  <c r="C28" i="10"/>
  <c r="A28" i="10"/>
  <c r="J25" i="10"/>
  <c r="L25" i="10" s="1"/>
  <c r="I25" i="10"/>
  <c r="G27" i="8"/>
  <c r="H27" i="8"/>
  <c r="K27" i="8" s="1"/>
  <c r="T19" i="8"/>
  <c r="S20" i="8"/>
  <c r="J26" i="8"/>
  <c r="L26" i="8" s="1"/>
  <c r="I26" i="8"/>
  <c r="R25" i="8"/>
  <c r="B28" i="8"/>
  <c r="P28" i="8"/>
  <c r="D28" i="8"/>
  <c r="E28" i="8" s="1"/>
  <c r="F28" i="8" s="1"/>
  <c r="Q28" i="8"/>
  <c r="C29" i="8"/>
  <c r="A29" i="8"/>
  <c r="N21" i="8"/>
  <c r="O21" i="8" s="1"/>
  <c r="M22" i="8"/>
  <c r="G25" i="7"/>
  <c r="H25" i="7"/>
  <c r="K25" i="7" s="1"/>
  <c r="C27" i="7"/>
  <c r="P26" i="7"/>
  <c r="Q26" i="7"/>
  <c r="B26" i="7"/>
  <c r="D26" i="7"/>
  <c r="E26" i="7" s="1"/>
  <c r="F26" i="7" s="1"/>
  <c r="A27" i="7"/>
  <c r="I24" i="7"/>
  <c r="J24" i="7"/>
  <c r="L24" i="7" s="1"/>
  <c r="N22" i="7"/>
  <c r="O22" i="7" s="1"/>
  <c r="S21" i="7"/>
  <c r="T20" i="7"/>
  <c r="M23" i="7"/>
  <c r="R23" i="7"/>
  <c r="H27" i="13" l="1"/>
  <c r="K27" i="13" s="1"/>
  <c r="G27" i="13"/>
  <c r="T20" i="13"/>
  <c r="S21" i="13"/>
  <c r="N24" i="13"/>
  <c r="O24" i="13" s="1"/>
  <c r="R25" i="13"/>
  <c r="M25" i="13"/>
  <c r="Q28" i="13"/>
  <c r="P28" i="13"/>
  <c r="D28" i="13"/>
  <c r="E28" i="13" s="1"/>
  <c r="F28" i="13" s="1"/>
  <c r="B28" i="13"/>
  <c r="C29" i="13"/>
  <c r="A29" i="13"/>
  <c r="J26" i="13"/>
  <c r="L26" i="13" s="1"/>
  <c r="I26" i="13"/>
  <c r="H27" i="11"/>
  <c r="K27" i="11" s="1"/>
  <c r="G27" i="11"/>
  <c r="T21" i="11"/>
  <c r="S22" i="11"/>
  <c r="D28" i="11"/>
  <c r="E28" i="11" s="1"/>
  <c r="F28" i="11" s="1"/>
  <c r="B28" i="11"/>
  <c r="Q28" i="11"/>
  <c r="P28" i="11"/>
  <c r="C29" i="11"/>
  <c r="A29" i="11"/>
  <c r="R25" i="11"/>
  <c r="J26" i="11"/>
  <c r="L26" i="11" s="1"/>
  <c r="I26" i="11"/>
  <c r="N21" i="11"/>
  <c r="O21" i="11" s="1"/>
  <c r="M22" i="11"/>
  <c r="H27" i="10"/>
  <c r="K27" i="10" s="1"/>
  <c r="G27" i="10"/>
  <c r="T20" i="10"/>
  <c r="S21" i="10"/>
  <c r="R25" i="10"/>
  <c r="N22" i="10"/>
  <c r="O22" i="10" s="1"/>
  <c r="M23" i="10"/>
  <c r="J26" i="10"/>
  <c r="L26" i="10" s="1"/>
  <c r="I26" i="10"/>
  <c r="B28" i="10"/>
  <c r="Q28" i="10"/>
  <c r="P28" i="10"/>
  <c r="D28" i="10"/>
  <c r="E28" i="10"/>
  <c r="F28" i="10" s="1"/>
  <c r="C29" i="10"/>
  <c r="A29" i="10"/>
  <c r="H28" i="8"/>
  <c r="K28" i="8" s="1"/>
  <c r="G28" i="8"/>
  <c r="N22" i="8"/>
  <c r="O22" i="8" s="1"/>
  <c r="M23" i="8"/>
  <c r="R26" i="8"/>
  <c r="J27" i="8"/>
  <c r="L27" i="8" s="1"/>
  <c r="I27" i="8"/>
  <c r="B29" i="8"/>
  <c r="D29" i="8"/>
  <c r="E29" i="8"/>
  <c r="F29" i="8" s="1"/>
  <c r="Q29" i="8"/>
  <c r="P29" i="8"/>
  <c r="A30" i="8"/>
  <c r="C30" i="8"/>
  <c r="T20" i="8"/>
  <c r="S21" i="8"/>
  <c r="N23" i="7"/>
  <c r="O23" i="7" s="1"/>
  <c r="M24" i="7"/>
  <c r="R24" i="7"/>
  <c r="D27" i="7"/>
  <c r="E27" i="7" s="1"/>
  <c r="F27" i="7" s="1"/>
  <c r="A28" i="7"/>
  <c r="C28" i="7"/>
  <c r="P27" i="7"/>
  <c r="Q27" i="7"/>
  <c r="B27" i="7"/>
  <c r="G26" i="7"/>
  <c r="H26" i="7"/>
  <c r="K26" i="7" s="1"/>
  <c r="T21" i="7"/>
  <c r="S22" i="7"/>
  <c r="I25" i="7"/>
  <c r="J25" i="7"/>
  <c r="L25" i="7" s="1"/>
  <c r="G28" i="13" l="1"/>
  <c r="H28" i="13"/>
  <c r="K28" i="13" s="1"/>
  <c r="T21" i="13"/>
  <c r="S22" i="13"/>
  <c r="M26" i="13"/>
  <c r="R26" i="13"/>
  <c r="N25" i="13"/>
  <c r="O25" i="13"/>
  <c r="P29" i="13"/>
  <c r="D29" i="13"/>
  <c r="B29" i="13"/>
  <c r="E29" i="13"/>
  <c r="F29" i="13" s="1"/>
  <c r="Q29" i="13"/>
  <c r="A30" i="13"/>
  <c r="C30" i="13"/>
  <c r="I27" i="13"/>
  <c r="J27" i="13"/>
  <c r="L27" i="13" s="1"/>
  <c r="H28" i="11"/>
  <c r="K28" i="11" s="1"/>
  <c r="G28" i="11"/>
  <c r="B29" i="11"/>
  <c r="Q29" i="11"/>
  <c r="P29" i="11"/>
  <c r="D29" i="11"/>
  <c r="E29" i="11"/>
  <c r="F29" i="11" s="1"/>
  <c r="C30" i="11"/>
  <c r="A30" i="11"/>
  <c r="N22" i="11"/>
  <c r="O22" i="11" s="1"/>
  <c r="M23" i="11"/>
  <c r="T22" i="11"/>
  <c r="S23" i="11"/>
  <c r="J27" i="11"/>
  <c r="L27" i="11" s="1"/>
  <c r="I27" i="11"/>
  <c r="R26" i="11"/>
  <c r="H28" i="10"/>
  <c r="K28" i="10" s="1"/>
  <c r="G28" i="10"/>
  <c r="J27" i="10"/>
  <c r="L27" i="10" s="1"/>
  <c r="I27" i="10"/>
  <c r="B29" i="10"/>
  <c r="Q29" i="10"/>
  <c r="P29" i="10"/>
  <c r="D29" i="10"/>
  <c r="E29" i="10" s="1"/>
  <c r="F29" i="10" s="1"/>
  <c r="A30" i="10"/>
  <c r="C30" i="10"/>
  <c r="S22" i="10"/>
  <c r="T21" i="10"/>
  <c r="R26" i="10"/>
  <c r="N23" i="10"/>
  <c r="O23" i="10" s="1"/>
  <c r="M24" i="10"/>
  <c r="G29" i="8"/>
  <c r="H29" i="8"/>
  <c r="K29" i="8" s="1"/>
  <c r="R27" i="8"/>
  <c r="S22" i="8"/>
  <c r="T21" i="8"/>
  <c r="N23" i="8"/>
  <c r="O23" i="8" s="1"/>
  <c r="M24" i="8"/>
  <c r="J28" i="8"/>
  <c r="L28" i="8" s="1"/>
  <c r="I28" i="8"/>
  <c r="B30" i="8"/>
  <c r="P30" i="8"/>
  <c r="D30" i="8"/>
  <c r="E30" i="8" s="1"/>
  <c r="F30" i="8" s="1"/>
  <c r="Q30" i="8"/>
  <c r="C31" i="8"/>
  <c r="A31" i="8"/>
  <c r="G27" i="7"/>
  <c r="H27" i="7"/>
  <c r="K27" i="7" s="1"/>
  <c r="I26" i="7"/>
  <c r="J26" i="7"/>
  <c r="L26" i="7" s="1"/>
  <c r="N24" i="7"/>
  <c r="O24" i="7" s="1"/>
  <c r="M25" i="7"/>
  <c r="R25" i="7"/>
  <c r="S23" i="7"/>
  <c r="T22" i="7"/>
  <c r="C29" i="7"/>
  <c r="P28" i="7"/>
  <c r="Q28" i="7"/>
  <c r="B28" i="7"/>
  <c r="D28" i="7"/>
  <c r="E28" i="7" s="1"/>
  <c r="F28" i="7" s="1"/>
  <c r="A29" i="7"/>
  <c r="H29" i="13" l="1"/>
  <c r="K29" i="13" s="1"/>
  <c r="G29" i="13"/>
  <c r="B30" i="13"/>
  <c r="Q30" i="13"/>
  <c r="E30" i="13"/>
  <c r="F30" i="13" s="1"/>
  <c r="P30" i="13"/>
  <c r="D30" i="13"/>
  <c r="A31" i="13"/>
  <c r="C31" i="13"/>
  <c r="J28" i="13"/>
  <c r="L28" i="13" s="1"/>
  <c r="I28" i="13"/>
  <c r="N26" i="13"/>
  <c r="O26" i="13" s="1"/>
  <c r="T22" i="13"/>
  <c r="S23" i="13"/>
  <c r="R27" i="13"/>
  <c r="M27" i="13"/>
  <c r="H29" i="11"/>
  <c r="K29" i="11" s="1"/>
  <c r="G29" i="11"/>
  <c r="N23" i="11"/>
  <c r="O23" i="11" s="1"/>
  <c r="M24" i="11"/>
  <c r="Q30" i="11"/>
  <c r="P30" i="11"/>
  <c r="D30" i="11"/>
  <c r="E30" i="11" s="1"/>
  <c r="F30" i="11" s="1"/>
  <c r="B30" i="11"/>
  <c r="A31" i="11"/>
  <c r="C31" i="11"/>
  <c r="R27" i="11"/>
  <c r="J28" i="11"/>
  <c r="L28" i="11" s="1"/>
  <c r="I28" i="11"/>
  <c r="S24" i="11"/>
  <c r="T23" i="11"/>
  <c r="H29" i="10"/>
  <c r="K29" i="10" s="1"/>
  <c r="G29" i="10"/>
  <c r="N24" i="10"/>
  <c r="O24" i="10" s="1"/>
  <c r="M25" i="10"/>
  <c r="R27" i="10"/>
  <c r="F30" i="10"/>
  <c r="Q30" i="10"/>
  <c r="P30" i="10"/>
  <c r="D30" i="10"/>
  <c r="E30" i="10"/>
  <c r="B30" i="10"/>
  <c r="C31" i="10"/>
  <c r="A31" i="10"/>
  <c r="J28" i="10"/>
  <c r="L28" i="10" s="1"/>
  <c r="I28" i="10"/>
  <c r="S23" i="10"/>
  <c r="T22" i="10"/>
  <c r="H30" i="8"/>
  <c r="K30" i="8" s="1"/>
  <c r="G30" i="8"/>
  <c r="S23" i="8"/>
  <c r="T22" i="8"/>
  <c r="R28" i="8"/>
  <c r="B31" i="8"/>
  <c r="D31" i="8"/>
  <c r="E31" i="8" s="1"/>
  <c r="F31" i="8" s="1"/>
  <c r="Q31" i="8"/>
  <c r="P31" i="8"/>
  <c r="A32" i="8"/>
  <c r="C32" i="8"/>
  <c r="N24" i="8"/>
  <c r="O24" i="8" s="1"/>
  <c r="M25" i="8"/>
  <c r="J29" i="8"/>
  <c r="L29" i="8" s="1"/>
  <c r="I29" i="8"/>
  <c r="D29" i="7"/>
  <c r="E29" i="7" s="1"/>
  <c r="F29" i="7" s="1"/>
  <c r="A30" i="7"/>
  <c r="C30" i="7"/>
  <c r="P29" i="7"/>
  <c r="Q29" i="7"/>
  <c r="B29" i="7"/>
  <c r="N25" i="7"/>
  <c r="O25" i="7" s="1"/>
  <c r="G28" i="7"/>
  <c r="H28" i="7"/>
  <c r="K28" i="7" s="1"/>
  <c r="T23" i="7"/>
  <c r="S24" i="7"/>
  <c r="M26" i="7"/>
  <c r="R26" i="7"/>
  <c r="I27" i="7"/>
  <c r="J27" i="7"/>
  <c r="L27" i="7" s="1"/>
  <c r="H30" i="13" l="1"/>
  <c r="K30" i="13" s="1"/>
  <c r="G30" i="13"/>
  <c r="N27" i="13"/>
  <c r="O27" i="13" s="1"/>
  <c r="T23" i="13"/>
  <c r="S24" i="13"/>
  <c r="R28" i="13"/>
  <c r="M28" i="13"/>
  <c r="J29" i="13"/>
  <c r="L29" i="13" s="1"/>
  <c r="I29" i="13"/>
  <c r="Q31" i="13"/>
  <c r="P31" i="13"/>
  <c r="D31" i="13"/>
  <c r="E31" i="13" s="1"/>
  <c r="F31" i="13" s="1"/>
  <c r="B31" i="13"/>
  <c r="A32" i="13"/>
  <c r="C32" i="13"/>
  <c r="H30" i="11"/>
  <c r="K30" i="11" s="1"/>
  <c r="G30" i="11"/>
  <c r="B31" i="11"/>
  <c r="Q31" i="11"/>
  <c r="P31" i="11"/>
  <c r="D31" i="11"/>
  <c r="E31" i="11" s="1"/>
  <c r="F31" i="11" s="1"/>
  <c r="C32" i="11"/>
  <c r="A32" i="11"/>
  <c r="N24" i="11"/>
  <c r="O24" i="11" s="1"/>
  <c r="M25" i="11"/>
  <c r="T24" i="11"/>
  <c r="S25" i="11"/>
  <c r="R28" i="11"/>
  <c r="J29" i="11"/>
  <c r="L29" i="11" s="1"/>
  <c r="I29" i="11"/>
  <c r="H30" i="10"/>
  <c r="K30" i="10" s="1"/>
  <c r="G30" i="10"/>
  <c r="T23" i="10"/>
  <c r="S24" i="10"/>
  <c r="B31" i="10"/>
  <c r="E31" i="10"/>
  <c r="F31" i="10" s="1"/>
  <c r="Q31" i="10"/>
  <c r="D31" i="10"/>
  <c r="P31" i="10"/>
  <c r="A32" i="10"/>
  <c r="C32" i="10"/>
  <c r="J29" i="10"/>
  <c r="L29" i="10" s="1"/>
  <c r="I29" i="10"/>
  <c r="N25" i="10"/>
  <c r="O25" i="10" s="1"/>
  <c r="M26" i="10"/>
  <c r="R28" i="10"/>
  <c r="G31" i="8"/>
  <c r="H31" i="8"/>
  <c r="K31" i="8" s="1"/>
  <c r="J30" i="8"/>
  <c r="L30" i="8" s="1"/>
  <c r="I30" i="8"/>
  <c r="B32" i="8"/>
  <c r="P32" i="8"/>
  <c r="D32" i="8"/>
  <c r="E32" i="8" s="1"/>
  <c r="F32" i="8" s="1"/>
  <c r="Q32" i="8"/>
  <c r="C33" i="8"/>
  <c r="A33" i="8"/>
  <c r="N25" i="8"/>
  <c r="O25" i="8" s="1"/>
  <c r="M26" i="8"/>
  <c r="R29" i="8"/>
  <c r="S24" i="8"/>
  <c r="T23" i="8"/>
  <c r="R27" i="7"/>
  <c r="M27" i="7"/>
  <c r="G29" i="7"/>
  <c r="H29" i="7"/>
  <c r="K29" i="7" s="1"/>
  <c r="I28" i="7"/>
  <c r="J28" i="7"/>
  <c r="L28" i="7" s="1"/>
  <c r="C31" i="7"/>
  <c r="P30" i="7"/>
  <c r="Q30" i="7"/>
  <c r="B30" i="7"/>
  <c r="D30" i="7"/>
  <c r="E30" i="7"/>
  <c r="F30" i="7" s="1"/>
  <c r="A31" i="7"/>
  <c r="N26" i="7"/>
  <c r="O26" i="7" s="1"/>
  <c r="T24" i="7"/>
  <c r="S25" i="7"/>
  <c r="H31" i="13" l="1"/>
  <c r="K31" i="13" s="1"/>
  <c r="G31" i="13"/>
  <c r="S25" i="13"/>
  <c r="T24" i="13"/>
  <c r="R29" i="13"/>
  <c r="M29" i="13"/>
  <c r="P32" i="13"/>
  <c r="D32" i="13"/>
  <c r="E32" i="13" s="1"/>
  <c r="F32" i="13" s="1"/>
  <c r="B32" i="13"/>
  <c r="Q32" i="13"/>
  <c r="C33" i="13"/>
  <c r="A33" i="13"/>
  <c r="N28" i="13"/>
  <c r="O28" i="13" s="1"/>
  <c r="J30" i="13"/>
  <c r="L30" i="13" s="1"/>
  <c r="I30" i="13"/>
  <c r="H31" i="11"/>
  <c r="K31" i="11" s="1"/>
  <c r="G31" i="11"/>
  <c r="P32" i="11"/>
  <c r="D32" i="11"/>
  <c r="E32" i="11" s="1"/>
  <c r="F32" i="11" s="1"/>
  <c r="B32" i="11"/>
  <c r="Q32" i="11"/>
  <c r="Q33" i="11" s="1"/>
  <c r="R33" i="11" s="1"/>
  <c r="R29" i="11"/>
  <c r="N25" i="11"/>
  <c r="O25" i="11" s="1"/>
  <c r="M26" i="11"/>
  <c r="S26" i="11"/>
  <c r="T25" i="11"/>
  <c r="J30" i="11"/>
  <c r="L30" i="11" s="1"/>
  <c r="I30" i="11"/>
  <c r="H31" i="10"/>
  <c r="K31" i="10" s="1"/>
  <c r="G31" i="10"/>
  <c r="R29" i="10"/>
  <c r="D32" i="10"/>
  <c r="E32" i="10" s="1"/>
  <c r="F32" i="10" s="1"/>
  <c r="P32" i="10"/>
  <c r="B32" i="10"/>
  <c r="Q32" i="10"/>
  <c r="C33" i="10"/>
  <c r="A33" i="10"/>
  <c r="J30" i="10"/>
  <c r="L30" i="10" s="1"/>
  <c r="I30" i="10"/>
  <c r="N26" i="10"/>
  <c r="O26" i="10" s="1"/>
  <c r="M27" i="10"/>
  <c r="T24" i="10"/>
  <c r="S25" i="10"/>
  <c r="H32" i="8"/>
  <c r="K32" i="8" s="1"/>
  <c r="G32" i="8"/>
  <c r="B33" i="8"/>
  <c r="D33" i="8"/>
  <c r="E33" i="8" s="1"/>
  <c r="F33" i="8" s="1"/>
  <c r="Q33" i="8"/>
  <c r="P33" i="8"/>
  <c r="C34" i="8"/>
  <c r="A34" i="8"/>
  <c r="J31" i="8"/>
  <c r="L31" i="8" s="1"/>
  <c r="I31" i="8"/>
  <c r="T24" i="8"/>
  <c r="S25" i="8"/>
  <c r="R30" i="8"/>
  <c r="N26" i="8"/>
  <c r="O26" i="8" s="1"/>
  <c r="M27" i="8"/>
  <c r="G30" i="7"/>
  <c r="H30" i="7"/>
  <c r="K30" i="7" s="1"/>
  <c r="D31" i="7"/>
  <c r="E31" i="7"/>
  <c r="F31" i="7" s="1"/>
  <c r="A32" i="7"/>
  <c r="C32" i="7"/>
  <c r="P31" i="7"/>
  <c r="Q31" i="7"/>
  <c r="B31" i="7"/>
  <c r="I29" i="7"/>
  <c r="J29" i="7"/>
  <c r="L29" i="7" s="1"/>
  <c r="R28" i="7"/>
  <c r="M28" i="7"/>
  <c r="N27" i="7"/>
  <c r="O27" i="7" s="1"/>
  <c r="T25" i="7"/>
  <c r="S26" i="7"/>
  <c r="H32" i="13" l="1"/>
  <c r="K32" i="13" s="1"/>
  <c r="G32" i="13"/>
  <c r="N29" i="13"/>
  <c r="O29" i="13" s="1"/>
  <c r="T25" i="13"/>
  <c r="S26" i="13"/>
  <c r="B33" i="13"/>
  <c r="Q33" i="13"/>
  <c r="E33" i="13"/>
  <c r="F33" i="13" s="1"/>
  <c r="D33" i="13"/>
  <c r="P33" i="13"/>
  <c r="C34" i="13"/>
  <c r="A34" i="13"/>
  <c r="R30" i="13"/>
  <c r="M30" i="13"/>
  <c r="J31" i="13"/>
  <c r="L31" i="13" s="1"/>
  <c r="I31" i="13"/>
  <c r="G32" i="11"/>
  <c r="H32" i="11"/>
  <c r="K32" i="11" s="1"/>
  <c r="C34" i="11"/>
  <c r="A34" i="11"/>
  <c r="S27" i="11"/>
  <c r="T26" i="11"/>
  <c r="J31" i="11"/>
  <c r="L31" i="11" s="1"/>
  <c r="I31" i="11"/>
  <c r="R30" i="11"/>
  <c r="N26" i="11"/>
  <c r="O26" i="11" s="1"/>
  <c r="M27" i="11"/>
  <c r="G32" i="10"/>
  <c r="H32" i="10"/>
  <c r="K32" i="10" s="1"/>
  <c r="R30" i="10"/>
  <c r="B33" i="10"/>
  <c r="Q33" i="10"/>
  <c r="P33" i="10"/>
  <c r="D33" i="10"/>
  <c r="E33" i="10" s="1"/>
  <c r="F33" i="10" s="1"/>
  <c r="A34" i="10"/>
  <c r="C34" i="10"/>
  <c r="J31" i="10"/>
  <c r="L31" i="10" s="1"/>
  <c r="I31" i="10"/>
  <c r="S26" i="10"/>
  <c r="T25" i="10"/>
  <c r="N27" i="10"/>
  <c r="O27" i="10" s="1"/>
  <c r="M28" i="10"/>
  <c r="G33" i="8"/>
  <c r="H33" i="8"/>
  <c r="K33" i="8" s="1"/>
  <c r="J32" i="8"/>
  <c r="L32" i="8" s="1"/>
  <c r="I32" i="8"/>
  <c r="S26" i="8"/>
  <c r="T25" i="8"/>
  <c r="N27" i="8"/>
  <c r="O27" i="8" s="1"/>
  <c r="M28" i="8"/>
  <c r="R31" i="8"/>
  <c r="B34" i="8"/>
  <c r="P34" i="8"/>
  <c r="E34" i="8"/>
  <c r="F34" i="8" s="1"/>
  <c r="Q34" i="8"/>
  <c r="D34" i="8"/>
  <c r="C35" i="8"/>
  <c r="A35" i="8"/>
  <c r="G31" i="7"/>
  <c r="H31" i="7"/>
  <c r="K31" i="7" s="1"/>
  <c r="R29" i="7"/>
  <c r="M29" i="7"/>
  <c r="C33" i="7"/>
  <c r="P32" i="7"/>
  <c r="Q32" i="7"/>
  <c r="B32" i="7"/>
  <c r="D32" i="7"/>
  <c r="E32" i="7"/>
  <c r="F32" i="7" s="1"/>
  <c r="A33" i="7"/>
  <c r="T26" i="7"/>
  <c r="S27" i="7"/>
  <c r="N28" i="7"/>
  <c r="O28" i="7" s="1"/>
  <c r="I30" i="7"/>
  <c r="J30" i="7"/>
  <c r="L30" i="7" s="1"/>
  <c r="H33" i="13" l="1"/>
  <c r="K33" i="13" s="1"/>
  <c r="G33" i="13"/>
  <c r="J32" i="13"/>
  <c r="L32" i="13" s="1"/>
  <c r="I32" i="13"/>
  <c r="T26" i="13"/>
  <c r="S27" i="13"/>
  <c r="N30" i="13"/>
  <c r="O30" i="13" s="1"/>
  <c r="R34" i="13"/>
  <c r="F34" i="13"/>
  <c r="Q34" i="13"/>
  <c r="E34" i="13"/>
  <c r="P34" i="13"/>
  <c r="D34" i="13"/>
  <c r="M34" i="13"/>
  <c r="B34" i="13"/>
  <c r="S34" i="13"/>
  <c r="C35" i="13"/>
  <c r="A35" i="13"/>
  <c r="R31" i="13"/>
  <c r="M31" i="13"/>
  <c r="S28" i="11"/>
  <c r="T27" i="11"/>
  <c r="N27" i="11"/>
  <c r="O27" i="11" s="1"/>
  <c r="M28" i="11"/>
  <c r="B34" i="11"/>
  <c r="Q34" i="11"/>
  <c r="D34" i="11"/>
  <c r="E34" i="11" s="1"/>
  <c r="F34" i="11" s="1"/>
  <c r="P34" i="11"/>
  <c r="A35" i="11"/>
  <c r="C35" i="11"/>
  <c r="R31" i="11"/>
  <c r="J32" i="11"/>
  <c r="L32" i="11" s="1"/>
  <c r="I32" i="11"/>
  <c r="H33" i="10"/>
  <c r="K33" i="10" s="1"/>
  <c r="G33" i="10"/>
  <c r="N28" i="10"/>
  <c r="O28" i="10" s="1"/>
  <c r="M29" i="10"/>
  <c r="F34" i="10"/>
  <c r="S34" i="10"/>
  <c r="R34" i="10"/>
  <c r="P34" i="10"/>
  <c r="E34" i="10"/>
  <c r="M34" i="10"/>
  <c r="Q34" i="10"/>
  <c r="D34" i="10"/>
  <c r="B34" i="10"/>
  <c r="A35" i="10"/>
  <c r="C35" i="10"/>
  <c r="R31" i="10"/>
  <c r="S27" i="10"/>
  <c r="T26" i="10"/>
  <c r="J32" i="10"/>
  <c r="L32" i="10" s="1"/>
  <c r="I32" i="10"/>
  <c r="H34" i="8"/>
  <c r="K34" i="8" s="1"/>
  <c r="G34" i="8"/>
  <c r="B35" i="8"/>
  <c r="D35" i="8"/>
  <c r="E35" i="8" s="1"/>
  <c r="F35" i="8" s="1"/>
  <c r="Q35" i="8"/>
  <c r="P35" i="8"/>
  <c r="A36" i="8"/>
  <c r="C36" i="8"/>
  <c r="J33" i="8"/>
  <c r="L33" i="8" s="1"/>
  <c r="I33" i="8"/>
  <c r="S27" i="8"/>
  <c r="T26" i="8"/>
  <c r="N28" i="8"/>
  <c r="O28" i="8" s="1"/>
  <c r="M29" i="8"/>
  <c r="R32" i="8"/>
  <c r="D33" i="7"/>
  <c r="E33" i="7"/>
  <c r="F33" i="7" s="1"/>
  <c r="A34" i="7"/>
  <c r="C34" i="7"/>
  <c r="P33" i="7"/>
  <c r="Q33" i="7"/>
  <c r="B33" i="7"/>
  <c r="G32" i="7"/>
  <c r="H32" i="7"/>
  <c r="K32" i="7" s="1"/>
  <c r="R30" i="7"/>
  <c r="M30" i="7"/>
  <c r="N29" i="7"/>
  <c r="O29" i="7" s="1"/>
  <c r="T27" i="7"/>
  <c r="S28" i="7"/>
  <c r="I31" i="7"/>
  <c r="J31" i="7"/>
  <c r="L31" i="7" s="1"/>
  <c r="T27" i="13" l="1"/>
  <c r="S28" i="13"/>
  <c r="O31" i="13"/>
  <c r="N31" i="13"/>
  <c r="N34" i="13"/>
  <c r="O34" i="13" s="1"/>
  <c r="T34" i="13"/>
  <c r="H34" i="13"/>
  <c r="K34" i="13" s="1"/>
  <c r="G34" i="13"/>
  <c r="R32" i="13"/>
  <c r="M32" i="13"/>
  <c r="P35" i="13"/>
  <c r="D35" i="13"/>
  <c r="B35" i="13"/>
  <c r="S35" i="13"/>
  <c r="M35" i="13"/>
  <c r="F35" i="13"/>
  <c r="E35" i="13"/>
  <c r="R35" i="13"/>
  <c r="Q35" i="13"/>
  <c r="A36" i="13"/>
  <c r="C36" i="13"/>
  <c r="J33" i="13"/>
  <c r="L33" i="13" s="1"/>
  <c r="I33" i="13"/>
  <c r="N28" i="11"/>
  <c r="O28" i="11" s="1"/>
  <c r="M29" i="11"/>
  <c r="H34" i="11"/>
  <c r="K34" i="11" s="1"/>
  <c r="G34" i="11"/>
  <c r="R32" i="11"/>
  <c r="T28" i="11"/>
  <c r="S29" i="11"/>
  <c r="B35" i="11"/>
  <c r="Q35" i="11"/>
  <c r="P35" i="11"/>
  <c r="D35" i="11"/>
  <c r="E35" i="11" s="1"/>
  <c r="F35" i="11" s="1"/>
  <c r="C36" i="11"/>
  <c r="A36" i="11"/>
  <c r="N29" i="10"/>
  <c r="O29" i="10" s="1"/>
  <c r="M30" i="10"/>
  <c r="T34" i="10"/>
  <c r="N34" i="10"/>
  <c r="O34" i="10" s="1"/>
  <c r="R35" i="10"/>
  <c r="B35" i="10"/>
  <c r="Q35" i="10"/>
  <c r="P35" i="10"/>
  <c r="E35" i="10"/>
  <c r="M35" i="10"/>
  <c r="D35" i="10"/>
  <c r="S35" i="10"/>
  <c r="F35" i="10"/>
  <c r="A36" i="10"/>
  <c r="C36" i="10"/>
  <c r="R32" i="10"/>
  <c r="J33" i="10"/>
  <c r="L33" i="10" s="1"/>
  <c r="I33" i="10"/>
  <c r="G34" i="10"/>
  <c r="H34" i="10"/>
  <c r="K34" i="10" s="1"/>
  <c r="S28" i="10"/>
  <c r="T27" i="10"/>
  <c r="G35" i="8"/>
  <c r="H35" i="8"/>
  <c r="K35" i="8" s="1"/>
  <c r="B36" i="8"/>
  <c r="P36" i="8"/>
  <c r="D36" i="8"/>
  <c r="E36" i="8" s="1"/>
  <c r="F36" i="8" s="1"/>
  <c r="Q36" i="8"/>
  <c r="C37" i="8"/>
  <c r="A37" i="8"/>
  <c r="S28" i="8"/>
  <c r="T27" i="8"/>
  <c r="J34" i="8"/>
  <c r="L34" i="8" s="1"/>
  <c r="I34" i="8"/>
  <c r="R33" i="8"/>
  <c r="N29" i="8"/>
  <c r="O29" i="8" s="1"/>
  <c r="M30" i="8"/>
  <c r="N30" i="7"/>
  <c r="O30" i="7" s="1"/>
  <c r="R31" i="7"/>
  <c r="M31" i="7"/>
  <c r="I32" i="7"/>
  <c r="J32" i="7"/>
  <c r="L32" i="7" s="1"/>
  <c r="C35" i="7"/>
  <c r="P34" i="7"/>
  <c r="Q34" i="7"/>
  <c r="B34" i="7"/>
  <c r="D34" i="7"/>
  <c r="E34" i="7" s="1"/>
  <c r="F34" i="7" s="1"/>
  <c r="A35" i="7"/>
  <c r="G33" i="7"/>
  <c r="H33" i="7"/>
  <c r="K33" i="7" s="1"/>
  <c r="S29" i="7"/>
  <c r="T28" i="7"/>
  <c r="R33" i="13" l="1"/>
  <c r="M33" i="13"/>
  <c r="H35" i="13"/>
  <c r="K35" i="13" s="1"/>
  <c r="G35" i="13"/>
  <c r="N32" i="13"/>
  <c r="O32" i="13" s="1"/>
  <c r="N35" i="13"/>
  <c r="O35" i="13" s="1"/>
  <c r="B36" i="13"/>
  <c r="S36" i="13"/>
  <c r="M36" i="13"/>
  <c r="R36" i="13"/>
  <c r="F36" i="13"/>
  <c r="Q36" i="13"/>
  <c r="E36" i="13"/>
  <c r="D36" i="13"/>
  <c r="P36" i="13"/>
  <c r="A37" i="13"/>
  <c r="C37" i="13"/>
  <c r="J34" i="13"/>
  <c r="L34" i="13" s="1"/>
  <c r="I34" i="13"/>
  <c r="T35" i="13"/>
  <c r="S29" i="13"/>
  <c r="T28" i="13"/>
  <c r="J34" i="11"/>
  <c r="L34" i="11" s="1"/>
  <c r="I34" i="11"/>
  <c r="Q36" i="11"/>
  <c r="P36" i="11"/>
  <c r="D36" i="11"/>
  <c r="E36" i="11" s="1"/>
  <c r="F36" i="11" s="1"/>
  <c r="B36" i="11"/>
  <c r="A37" i="11"/>
  <c r="C37" i="11"/>
  <c r="H35" i="11"/>
  <c r="K35" i="11" s="1"/>
  <c r="G35" i="11"/>
  <c r="T29" i="11"/>
  <c r="S30" i="11"/>
  <c r="N29" i="11"/>
  <c r="O29" i="11" s="1"/>
  <c r="M30" i="11"/>
  <c r="T28" i="10"/>
  <c r="S29" i="10"/>
  <c r="H35" i="10"/>
  <c r="K35" i="10" s="1"/>
  <c r="G35" i="10"/>
  <c r="N35" i="10"/>
  <c r="O35" i="10" s="1"/>
  <c r="N30" i="10"/>
  <c r="O30" i="10" s="1"/>
  <c r="M31" i="10"/>
  <c r="F36" i="10"/>
  <c r="P36" i="10"/>
  <c r="E36" i="10"/>
  <c r="B36" i="10"/>
  <c r="R36" i="10"/>
  <c r="S36" i="10"/>
  <c r="D36" i="10"/>
  <c r="M36" i="10"/>
  <c r="Q36" i="10"/>
  <c r="A37" i="10"/>
  <c r="C37" i="10"/>
  <c r="J34" i="10"/>
  <c r="L34" i="10" s="1"/>
  <c r="I34" i="10"/>
  <c r="R33" i="10"/>
  <c r="T35" i="10"/>
  <c r="H36" i="8"/>
  <c r="K36" i="8" s="1"/>
  <c r="G36" i="8"/>
  <c r="N30" i="8"/>
  <c r="O30" i="8" s="1"/>
  <c r="M31" i="8"/>
  <c r="B37" i="8"/>
  <c r="F37" i="8"/>
  <c r="D37" i="8"/>
  <c r="E37" i="8"/>
  <c r="Q37" i="8"/>
  <c r="P37" i="8"/>
  <c r="A38" i="8"/>
  <c r="C38" i="8"/>
  <c r="S29" i="8"/>
  <c r="T28" i="8"/>
  <c r="R34" i="8"/>
  <c r="J35" i="8"/>
  <c r="L35" i="8" s="1"/>
  <c r="I35" i="8"/>
  <c r="G34" i="7"/>
  <c r="H34" i="7"/>
  <c r="K34" i="7" s="1"/>
  <c r="D35" i="7"/>
  <c r="E35" i="7"/>
  <c r="F35" i="7" s="1"/>
  <c r="A36" i="7"/>
  <c r="C36" i="7"/>
  <c r="P35" i="7"/>
  <c r="Q35" i="7"/>
  <c r="B35" i="7"/>
  <c r="M32" i="7"/>
  <c r="R32" i="7"/>
  <c r="S30" i="7"/>
  <c r="T29" i="7"/>
  <c r="N31" i="7"/>
  <c r="O31" i="7" s="1"/>
  <c r="I33" i="7"/>
  <c r="J33" i="7"/>
  <c r="L33" i="7" s="1"/>
  <c r="T36" i="13" l="1"/>
  <c r="R37" i="13"/>
  <c r="F37" i="13"/>
  <c r="Q37" i="13"/>
  <c r="T37" i="13" s="1"/>
  <c r="E37" i="13"/>
  <c r="P37" i="13"/>
  <c r="D37" i="13"/>
  <c r="B37" i="13"/>
  <c r="S37" i="13"/>
  <c r="M37" i="13"/>
  <c r="C38" i="13"/>
  <c r="A38" i="13"/>
  <c r="S30" i="13"/>
  <c r="T29" i="13"/>
  <c r="N36" i="13"/>
  <c r="O36" i="13"/>
  <c r="J35" i="13"/>
  <c r="L35" i="13" s="1"/>
  <c r="I35" i="13"/>
  <c r="H36" i="13"/>
  <c r="K36" i="13" s="1"/>
  <c r="G36" i="13"/>
  <c r="N33" i="13"/>
  <c r="O33" i="13"/>
  <c r="M34" i="11"/>
  <c r="N34" i="11" s="1"/>
  <c r="O34" i="11" s="1"/>
  <c r="R34" i="11"/>
  <c r="H36" i="11"/>
  <c r="K36" i="11" s="1"/>
  <c r="G36" i="11"/>
  <c r="J35" i="11"/>
  <c r="L35" i="11" s="1"/>
  <c r="I35" i="11"/>
  <c r="N30" i="11"/>
  <c r="O30" i="11" s="1"/>
  <c r="M31" i="11"/>
  <c r="B37" i="11"/>
  <c r="P37" i="11"/>
  <c r="D37" i="11"/>
  <c r="E37" i="11" s="1"/>
  <c r="F37" i="11" s="1"/>
  <c r="Q37" i="11"/>
  <c r="A38" i="11"/>
  <c r="C38" i="11"/>
  <c r="S31" i="11"/>
  <c r="T30" i="11"/>
  <c r="J35" i="10"/>
  <c r="L35" i="10" s="1"/>
  <c r="I35" i="10"/>
  <c r="T36" i="10"/>
  <c r="G36" i="10"/>
  <c r="H36" i="10"/>
  <c r="K36" i="10" s="1"/>
  <c r="T29" i="10"/>
  <c r="S30" i="10"/>
  <c r="R37" i="10"/>
  <c r="B37" i="10"/>
  <c r="E37" i="10"/>
  <c r="M37" i="10"/>
  <c r="D37" i="10"/>
  <c r="S37" i="10"/>
  <c r="P37" i="10"/>
  <c r="F37" i="10"/>
  <c r="Q37" i="10"/>
  <c r="A38" i="10"/>
  <c r="C38" i="10"/>
  <c r="N36" i="10"/>
  <c r="O36" i="10" s="1"/>
  <c r="N31" i="10"/>
  <c r="O31" i="10" s="1"/>
  <c r="M32" i="10"/>
  <c r="B38" i="8"/>
  <c r="P38" i="8"/>
  <c r="Q38" i="8"/>
  <c r="D38" i="8"/>
  <c r="E38" i="8" s="1"/>
  <c r="F38" i="8" s="1"/>
  <c r="C39" i="8"/>
  <c r="A39" i="8"/>
  <c r="N31" i="8"/>
  <c r="O31" i="8" s="1"/>
  <c r="M32" i="8"/>
  <c r="G37" i="8"/>
  <c r="H37" i="8"/>
  <c r="K37" i="8" s="1"/>
  <c r="R35" i="8"/>
  <c r="J36" i="8"/>
  <c r="L36" i="8" s="1"/>
  <c r="I36" i="8"/>
  <c r="T29" i="8"/>
  <c r="S30" i="8"/>
  <c r="C37" i="7"/>
  <c r="P36" i="7"/>
  <c r="Q36" i="7"/>
  <c r="B36" i="7"/>
  <c r="D36" i="7"/>
  <c r="E36" i="7"/>
  <c r="F36" i="7" s="1"/>
  <c r="A37" i="7"/>
  <c r="T30" i="7"/>
  <c r="S31" i="7"/>
  <c r="N32" i="7"/>
  <c r="O32" i="7" s="1"/>
  <c r="G35" i="7"/>
  <c r="H35" i="7"/>
  <c r="K35" i="7" s="1"/>
  <c r="R33" i="7"/>
  <c r="M33" i="7"/>
  <c r="I34" i="7"/>
  <c r="J34" i="7"/>
  <c r="L34" i="7" s="1"/>
  <c r="R34" i="7" s="1"/>
  <c r="S31" i="13" l="1"/>
  <c r="T30" i="13"/>
  <c r="G37" i="13"/>
  <c r="H37" i="13"/>
  <c r="K37" i="13" s="1"/>
  <c r="P38" i="13"/>
  <c r="D38" i="13"/>
  <c r="B38" i="13"/>
  <c r="S38" i="13"/>
  <c r="M38" i="13"/>
  <c r="E38" i="13"/>
  <c r="R38" i="13"/>
  <c r="Q38" i="13"/>
  <c r="F38" i="13"/>
  <c r="A39" i="13"/>
  <c r="C39" i="13"/>
  <c r="N37" i="13"/>
  <c r="O37" i="13" s="1"/>
  <c r="I36" i="13"/>
  <c r="J36" i="13"/>
  <c r="L36" i="13" s="1"/>
  <c r="R35" i="11"/>
  <c r="M35" i="11"/>
  <c r="N35" i="11" s="1"/>
  <c r="O35" i="11" s="1"/>
  <c r="N31" i="11"/>
  <c r="O31" i="11" s="1"/>
  <c r="M32" i="11"/>
  <c r="D38" i="11"/>
  <c r="E38" i="11" s="1"/>
  <c r="F38" i="11" s="1"/>
  <c r="B38" i="11"/>
  <c r="Q38" i="11"/>
  <c r="P38" i="11"/>
  <c r="C39" i="11"/>
  <c r="A39" i="11"/>
  <c r="I36" i="11"/>
  <c r="J36" i="11"/>
  <c r="L36" i="11" s="1"/>
  <c r="S32" i="11"/>
  <c r="S33" i="11" s="1"/>
  <c r="T33" i="11" s="1"/>
  <c r="T31" i="11"/>
  <c r="G37" i="11"/>
  <c r="H37" i="11"/>
  <c r="K37" i="11" s="1"/>
  <c r="T37" i="10"/>
  <c r="G37" i="10"/>
  <c r="H37" i="10"/>
  <c r="K37" i="10" s="1"/>
  <c r="N32" i="10"/>
  <c r="O32" i="10" s="1"/>
  <c r="M33" i="10"/>
  <c r="N37" i="10"/>
  <c r="O37" i="10" s="1"/>
  <c r="S31" i="10"/>
  <c r="T30" i="10"/>
  <c r="I36" i="10"/>
  <c r="J36" i="10"/>
  <c r="L36" i="10" s="1"/>
  <c r="F38" i="10"/>
  <c r="B38" i="10"/>
  <c r="R38" i="10"/>
  <c r="Q38" i="10"/>
  <c r="E38" i="10"/>
  <c r="D38" i="10"/>
  <c r="P38" i="10"/>
  <c r="M38" i="10"/>
  <c r="S38" i="10"/>
  <c r="C39" i="10"/>
  <c r="A39" i="10"/>
  <c r="H38" i="8"/>
  <c r="K38" i="8" s="1"/>
  <c r="G38" i="8"/>
  <c r="S31" i="8"/>
  <c r="T30" i="8"/>
  <c r="J37" i="8"/>
  <c r="L37" i="8" s="1"/>
  <c r="I37" i="8"/>
  <c r="B39" i="8"/>
  <c r="F39" i="8"/>
  <c r="D39" i="8"/>
  <c r="Q39" i="8"/>
  <c r="P39" i="8"/>
  <c r="E39" i="8"/>
  <c r="A40" i="8"/>
  <c r="C40" i="8"/>
  <c r="N32" i="8"/>
  <c r="O32" i="8" s="1"/>
  <c r="M33" i="8"/>
  <c r="R36" i="8"/>
  <c r="G36" i="7"/>
  <c r="H36" i="7"/>
  <c r="K36" i="7" s="1"/>
  <c r="S32" i="7"/>
  <c r="T31" i="7"/>
  <c r="M34" i="7"/>
  <c r="N33" i="7"/>
  <c r="O33" i="7" s="1"/>
  <c r="D37" i="7"/>
  <c r="E37" i="7" s="1"/>
  <c r="F37" i="7" s="1"/>
  <c r="A38" i="7"/>
  <c r="C38" i="7"/>
  <c r="P37" i="7"/>
  <c r="Q37" i="7"/>
  <c r="B37" i="7"/>
  <c r="I35" i="7"/>
  <c r="J35" i="7"/>
  <c r="L35" i="7" s="1"/>
  <c r="T38" i="13" l="1"/>
  <c r="N38" i="13"/>
  <c r="O38" i="13" s="1"/>
  <c r="J37" i="13"/>
  <c r="L37" i="13" s="1"/>
  <c r="I37" i="13"/>
  <c r="B39" i="13"/>
  <c r="S39" i="13"/>
  <c r="M39" i="13"/>
  <c r="R39" i="13"/>
  <c r="F39" i="13"/>
  <c r="Q39" i="13"/>
  <c r="E39" i="13"/>
  <c r="P39" i="13"/>
  <c r="D39" i="13"/>
  <c r="C40" i="13"/>
  <c r="A40" i="13"/>
  <c r="H38" i="13"/>
  <c r="K38" i="13" s="1"/>
  <c r="G38" i="13"/>
  <c r="T31" i="13"/>
  <c r="S32" i="13"/>
  <c r="S34" i="11"/>
  <c r="T34" i="11" s="1"/>
  <c r="R36" i="11"/>
  <c r="M36" i="11"/>
  <c r="N36" i="11" s="1"/>
  <c r="O36" i="11" s="1"/>
  <c r="B39" i="11"/>
  <c r="D39" i="11"/>
  <c r="Q39" i="11"/>
  <c r="E39" i="11"/>
  <c r="F39" i="11" s="1"/>
  <c r="P39" i="11"/>
  <c r="A40" i="11"/>
  <c r="C40" i="11"/>
  <c r="H38" i="11"/>
  <c r="K38" i="11" s="1"/>
  <c r="G38" i="11"/>
  <c r="J37" i="11"/>
  <c r="L37" i="11" s="1"/>
  <c r="I37" i="11"/>
  <c r="N32" i="11"/>
  <c r="O32" i="11" s="1"/>
  <c r="T32" i="11"/>
  <c r="T38" i="10"/>
  <c r="T31" i="10"/>
  <c r="S32" i="10"/>
  <c r="H38" i="10"/>
  <c r="K38" i="10" s="1"/>
  <c r="G38" i="10"/>
  <c r="R39" i="10"/>
  <c r="B39" i="10"/>
  <c r="S39" i="10"/>
  <c r="P39" i="10"/>
  <c r="F39" i="10"/>
  <c r="M39" i="10"/>
  <c r="D39" i="10"/>
  <c r="Q39" i="10"/>
  <c r="E39" i="10"/>
  <c r="A40" i="10"/>
  <c r="C40" i="10"/>
  <c r="N33" i="10"/>
  <c r="O33" i="10" s="1"/>
  <c r="N38" i="10"/>
  <c r="O38" i="10" s="1"/>
  <c r="J37" i="10"/>
  <c r="L37" i="10" s="1"/>
  <c r="I37" i="10"/>
  <c r="B40" i="8"/>
  <c r="P40" i="8"/>
  <c r="D40" i="8"/>
  <c r="E40" i="8" s="1"/>
  <c r="F40" i="8" s="1"/>
  <c r="Q40" i="8"/>
  <c r="C41" i="8"/>
  <c r="A41" i="8"/>
  <c r="G39" i="8"/>
  <c r="H39" i="8"/>
  <c r="K39" i="8" s="1"/>
  <c r="R37" i="8"/>
  <c r="T31" i="8"/>
  <c r="S32" i="8"/>
  <c r="N33" i="8"/>
  <c r="O33" i="8" s="1"/>
  <c r="M34" i="8"/>
  <c r="J38" i="8"/>
  <c r="L38" i="8" s="1"/>
  <c r="I38" i="8"/>
  <c r="M35" i="7"/>
  <c r="R35" i="7"/>
  <c r="S33" i="7"/>
  <c r="S34" i="7" s="1"/>
  <c r="T32" i="7"/>
  <c r="G37" i="7"/>
  <c r="H37" i="7"/>
  <c r="K37" i="7" s="1"/>
  <c r="N34" i="7"/>
  <c r="O34" i="7" s="1"/>
  <c r="C39" i="7"/>
  <c r="P38" i="7"/>
  <c r="Q38" i="7"/>
  <c r="B38" i="7"/>
  <c r="D38" i="7"/>
  <c r="E38" i="7" s="1"/>
  <c r="F38" i="7" s="1"/>
  <c r="A39" i="7"/>
  <c r="I36" i="7"/>
  <c r="J36" i="7"/>
  <c r="L36" i="7" s="1"/>
  <c r="T39" i="13" l="1"/>
  <c r="J38" i="13"/>
  <c r="L38" i="13" s="1"/>
  <c r="I38" i="13"/>
  <c r="R40" i="13"/>
  <c r="F40" i="13"/>
  <c r="Q40" i="13"/>
  <c r="E40" i="13"/>
  <c r="P40" i="13"/>
  <c r="D40" i="13"/>
  <c r="S40" i="13"/>
  <c r="M40" i="13"/>
  <c r="B40" i="13"/>
  <c r="A41" i="13"/>
  <c r="C41" i="13"/>
  <c r="H39" i="13"/>
  <c r="K39" i="13" s="1"/>
  <c r="G39" i="13"/>
  <c r="T32" i="13"/>
  <c r="S33" i="13"/>
  <c r="T33" i="13" s="1"/>
  <c r="N39" i="13"/>
  <c r="O39" i="13" s="1"/>
  <c r="S35" i="11"/>
  <c r="T35" i="11" s="1"/>
  <c r="R37" i="11"/>
  <c r="M37" i="11"/>
  <c r="N37" i="11" s="1"/>
  <c r="O37" i="11" s="1"/>
  <c r="H39" i="11"/>
  <c r="K39" i="11" s="1"/>
  <c r="G39" i="11"/>
  <c r="J38" i="11"/>
  <c r="L38" i="11" s="1"/>
  <c r="I38" i="11"/>
  <c r="B40" i="11"/>
  <c r="Q40" i="11"/>
  <c r="P40" i="11"/>
  <c r="D40" i="11"/>
  <c r="E40" i="11" s="1"/>
  <c r="F40" i="11" s="1"/>
  <c r="C41" i="11"/>
  <c r="A41" i="11"/>
  <c r="F40" i="10"/>
  <c r="R40" i="10"/>
  <c r="Q40" i="10"/>
  <c r="E40" i="10"/>
  <c r="M40" i="10"/>
  <c r="D40" i="10"/>
  <c r="B40" i="10"/>
  <c r="P40" i="10"/>
  <c r="S40" i="10"/>
  <c r="C41" i="10"/>
  <c r="A41" i="10"/>
  <c r="I38" i="10"/>
  <c r="J38" i="10"/>
  <c r="L38" i="10" s="1"/>
  <c r="T39" i="10"/>
  <c r="N39" i="10"/>
  <c r="O39" i="10" s="1"/>
  <c r="S33" i="10"/>
  <c r="T33" i="10" s="1"/>
  <c r="T32" i="10"/>
  <c r="G39" i="10"/>
  <c r="H39" i="10"/>
  <c r="K39" i="10" s="1"/>
  <c r="H40" i="8"/>
  <c r="K40" i="8" s="1"/>
  <c r="G40" i="8"/>
  <c r="N34" i="8"/>
  <c r="O34" i="8" s="1"/>
  <c r="M35" i="8"/>
  <c r="R38" i="8"/>
  <c r="J39" i="8"/>
  <c r="L39" i="8" s="1"/>
  <c r="I39" i="8"/>
  <c r="B41" i="8"/>
  <c r="D41" i="8"/>
  <c r="E41" i="8"/>
  <c r="F41" i="8" s="1"/>
  <c r="Q41" i="8"/>
  <c r="P41" i="8"/>
  <c r="C42" i="8"/>
  <c r="A42" i="8"/>
  <c r="T32" i="8"/>
  <c r="S33" i="8"/>
  <c r="G38" i="7"/>
  <c r="H38" i="7"/>
  <c r="K38" i="7" s="1"/>
  <c r="T33" i="7"/>
  <c r="M36" i="7"/>
  <c r="R36" i="7"/>
  <c r="I37" i="7"/>
  <c r="J37" i="7"/>
  <c r="L37" i="7" s="1"/>
  <c r="D39" i="7"/>
  <c r="E39" i="7" s="1"/>
  <c r="F39" i="7" s="1"/>
  <c r="A40" i="7"/>
  <c r="C40" i="7"/>
  <c r="P39" i="7"/>
  <c r="Q39" i="7"/>
  <c r="B39" i="7"/>
  <c r="N35" i="7"/>
  <c r="O35" i="7" s="1"/>
  <c r="T40" i="13" l="1"/>
  <c r="P41" i="13"/>
  <c r="D41" i="13"/>
  <c r="B41" i="13"/>
  <c r="S41" i="13"/>
  <c r="M41" i="13"/>
  <c r="Q41" i="13"/>
  <c r="F41" i="13"/>
  <c r="R41" i="13"/>
  <c r="E41" i="13"/>
  <c r="A42" i="13"/>
  <c r="C42" i="13"/>
  <c r="N40" i="13"/>
  <c r="O40" i="13" s="1"/>
  <c r="H40" i="13"/>
  <c r="K40" i="13" s="1"/>
  <c r="G40" i="13"/>
  <c r="J39" i="13"/>
  <c r="L39" i="13" s="1"/>
  <c r="I39" i="13"/>
  <c r="S36" i="11"/>
  <c r="T36" i="11" s="1"/>
  <c r="R38" i="11"/>
  <c r="M38" i="11"/>
  <c r="J39" i="11"/>
  <c r="L39" i="11" s="1"/>
  <c r="I39" i="11"/>
  <c r="B41" i="11"/>
  <c r="Q41" i="11"/>
  <c r="P41" i="11"/>
  <c r="D41" i="11"/>
  <c r="E41" i="11" s="1"/>
  <c r="F41" i="11" s="1"/>
  <c r="C42" i="11"/>
  <c r="A42" i="11"/>
  <c r="H40" i="11"/>
  <c r="K40" i="11" s="1"/>
  <c r="G40" i="11"/>
  <c r="T40" i="10"/>
  <c r="N40" i="10"/>
  <c r="O40" i="10" s="1"/>
  <c r="R41" i="10"/>
  <c r="B41" i="10"/>
  <c r="P41" i="10"/>
  <c r="F41" i="10"/>
  <c r="M41" i="10"/>
  <c r="D41" i="10"/>
  <c r="S41" i="10"/>
  <c r="Q41" i="10"/>
  <c r="E41" i="10"/>
  <c r="A42" i="10"/>
  <c r="C42" i="10"/>
  <c r="J39" i="10"/>
  <c r="L39" i="10" s="1"/>
  <c r="I39" i="10"/>
  <c r="H40" i="10"/>
  <c r="K40" i="10" s="1"/>
  <c r="G40" i="10"/>
  <c r="G41" i="8"/>
  <c r="H41" i="8"/>
  <c r="K41" i="8" s="1"/>
  <c r="T33" i="8"/>
  <c r="S34" i="8"/>
  <c r="J40" i="8"/>
  <c r="L40" i="8" s="1"/>
  <c r="I40" i="8"/>
  <c r="B42" i="8"/>
  <c r="P42" i="8"/>
  <c r="D42" i="8"/>
  <c r="E42" i="8" s="1"/>
  <c r="F42" i="8" s="1"/>
  <c r="Q42" i="8"/>
  <c r="C43" i="8"/>
  <c r="A43" i="8"/>
  <c r="N35" i="8"/>
  <c r="O35" i="8" s="1"/>
  <c r="M36" i="8"/>
  <c r="R39" i="8"/>
  <c r="P40" i="7"/>
  <c r="Q40" i="7"/>
  <c r="B40" i="7"/>
  <c r="D40" i="7"/>
  <c r="E40" i="7"/>
  <c r="F40" i="7" s="1"/>
  <c r="A41" i="7"/>
  <c r="C41" i="7"/>
  <c r="G39" i="7"/>
  <c r="H39" i="7"/>
  <c r="K39" i="7" s="1"/>
  <c r="N36" i="7"/>
  <c r="O36" i="7" s="1"/>
  <c r="S35" i="7"/>
  <c r="T34" i="7"/>
  <c r="R37" i="7"/>
  <c r="M37" i="7"/>
  <c r="I38" i="7"/>
  <c r="J38" i="7"/>
  <c r="L38" i="7" s="1"/>
  <c r="B42" i="13" l="1"/>
  <c r="S42" i="13"/>
  <c r="M42" i="13"/>
  <c r="R42" i="13"/>
  <c r="F42" i="13"/>
  <c r="Q42" i="13"/>
  <c r="T42" i="13" s="1"/>
  <c r="E42" i="13"/>
  <c r="D42" i="13"/>
  <c r="P42" i="13"/>
  <c r="C43" i="13"/>
  <c r="A43" i="13"/>
  <c r="J40" i="13"/>
  <c r="L40" i="13" s="1"/>
  <c r="I40" i="13"/>
  <c r="H41" i="13"/>
  <c r="K41" i="13" s="1"/>
  <c r="G41" i="13"/>
  <c r="N41" i="13"/>
  <c r="O41" i="13" s="1"/>
  <c r="T41" i="13"/>
  <c r="S37" i="11"/>
  <c r="T37" i="11" s="1"/>
  <c r="R39" i="11"/>
  <c r="M39" i="11"/>
  <c r="N39" i="11" s="1"/>
  <c r="O39" i="11" s="1"/>
  <c r="N38" i="11"/>
  <c r="O38" i="11" s="1"/>
  <c r="H41" i="11"/>
  <c r="K41" i="11" s="1"/>
  <c r="G41" i="11"/>
  <c r="Q42" i="11"/>
  <c r="P42" i="11"/>
  <c r="D42" i="11"/>
  <c r="E42" i="11" s="1"/>
  <c r="F42" i="11" s="1"/>
  <c r="B42" i="11"/>
  <c r="C43" i="11"/>
  <c r="A43" i="11"/>
  <c r="J40" i="11"/>
  <c r="L40" i="11" s="1"/>
  <c r="I40" i="11"/>
  <c r="T41" i="10"/>
  <c r="N41" i="10"/>
  <c r="O41" i="10" s="1"/>
  <c r="G41" i="10"/>
  <c r="H41" i="10"/>
  <c r="K41" i="10" s="1"/>
  <c r="F42" i="10"/>
  <c r="E42" i="10"/>
  <c r="M42" i="10"/>
  <c r="D42" i="10"/>
  <c r="B42" i="10"/>
  <c r="S42" i="10"/>
  <c r="Q42" i="10"/>
  <c r="P42" i="10"/>
  <c r="R42" i="10"/>
  <c r="C43" i="10"/>
  <c r="A43" i="10"/>
  <c r="I40" i="10"/>
  <c r="J40" i="10"/>
  <c r="L40" i="10" s="1"/>
  <c r="H42" i="8"/>
  <c r="K42" i="8" s="1"/>
  <c r="G42" i="8"/>
  <c r="B43" i="8"/>
  <c r="D43" i="8"/>
  <c r="E43" i="8" s="1"/>
  <c r="F43" i="8" s="1"/>
  <c r="Q43" i="8"/>
  <c r="P43" i="8"/>
  <c r="A44" i="8"/>
  <c r="C44" i="8"/>
  <c r="J41" i="8"/>
  <c r="L41" i="8" s="1"/>
  <c r="I41" i="8"/>
  <c r="R40" i="8"/>
  <c r="N36" i="8"/>
  <c r="O36" i="8" s="1"/>
  <c r="M37" i="8"/>
  <c r="S35" i="8"/>
  <c r="T34" i="8"/>
  <c r="G40" i="7"/>
  <c r="H40" i="7"/>
  <c r="K40" i="7" s="1"/>
  <c r="S36" i="7"/>
  <c r="T35" i="7"/>
  <c r="I39" i="7"/>
  <c r="J39" i="7"/>
  <c r="L39" i="7" s="1"/>
  <c r="R38" i="7"/>
  <c r="M38" i="7"/>
  <c r="N37" i="7"/>
  <c r="O37" i="7" s="1"/>
  <c r="D41" i="7"/>
  <c r="E41" i="7"/>
  <c r="F41" i="7" s="1"/>
  <c r="A42" i="7"/>
  <c r="P41" i="7"/>
  <c r="Q41" i="7"/>
  <c r="C42" i="7"/>
  <c r="B41" i="7"/>
  <c r="H42" i="13" l="1"/>
  <c r="K42" i="13" s="1"/>
  <c r="G42" i="13"/>
  <c r="J41" i="13"/>
  <c r="L41" i="13" s="1"/>
  <c r="I41" i="13"/>
  <c r="N42" i="13"/>
  <c r="O42" i="13" s="1"/>
  <c r="R43" i="13"/>
  <c r="F43" i="13"/>
  <c r="Q43" i="13"/>
  <c r="E43" i="13"/>
  <c r="P43" i="13"/>
  <c r="D43" i="13"/>
  <c r="M43" i="13"/>
  <c r="B43" i="13"/>
  <c r="S43" i="13"/>
  <c r="C44" i="13"/>
  <c r="A44" i="13"/>
  <c r="S38" i="11"/>
  <c r="T38" i="11" s="1"/>
  <c r="M40" i="11"/>
  <c r="N40" i="11" s="1"/>
  <c r="O40" i="11" s="1"/>
  <c r="R40" i="11"/>
  <c r="B43" i="11"/>
  <c r="D43" i="11"/>
  <c r="E43" i="11" s="1"/>
  <c r="F43" i="11" s="1"/>
  <c r="P43" i="11"/>
  <c r="Q43" i="11"/>
  <c r="A44" i="11"/>
  <c r="C44" i="11"/>
  <c r="H42" i="11"/>
  <c r="K42" i="11" s="1"/>
  <c r="G42" i="11"/>
  <c r="J41" i="11"/>
  <c r="L41" i="11" s="1"/>
  <c r="I41" i="11"/>
  <c r="T42" i="10"/>
  <c r="H42" i="10"/>
  <c r="K42" i="10" s="1"/>
  <c r="G42" i="10"/>
  <c r="R43" i="10"/>
  <c r="B43" i="10"/>
  <c r="M43" i="10"/>
  <c r="D43" i="10"/>
  <c r="S43" i="10"/>
  <c r="Q43" i="10"/>
  <c r="P43" i="10"/>
  <c r="F43" i="10"/>
  <c r="E43" i="10"/>
  <c r="C44" i="10"/>
  <c r="A44" i="10"/>
  <c r="N42" i="10"/>
  <c r="O42" i="10" s="1"/>
  <c r="J41" i="10"/>
  <c r="L41" i="10" s="1"/>
  <c r="I41" i="10"/>
  <c r="G43" i="8"/>
  <c r="H43" i="8"/>
  <c r="K43" i="8" s="1"/>
  <c r="T35" i="8"/>
  <c r="S36" i="8"/>
  <c r="N37" i="8"/>
  <c r="O37" i="8" s="1"/>
  <c r="M38" i="8"/>
  <c r="R41" i="8"/>
  <c r="F44" i="8"/>
  <c r="D44" i="8"/>
  <c r="S44" i="8"/>
  <c r="R44" i="8"/>
  <c r="B44" i="8"/>
  <c r="P44" i="8"/>
  <c r="Q44" i="8"/>
  <c r="M44" i="8"/>
  <c r="E44" i="8"/>
  <c r="C45" i="8"/>
  <c r="C46" i="8" s="1"/>
  <c r="A45" i="8"/>
  <c r="J42" i="8"/>
  <c r="L42" i="8" s="1"/>
  <c r="I42" i="8"/>
  <c r="N38" i="7"/>
  <c r="O38" i="7" s="1"/>
  <c r="S37" i="7"/>
  <c r="T36" i="7"/>
  <c r="G41" i="7"/>
  <c r="H41" i="7"/>
  <c r="K41" i="7" s="1"/>
  <c r="Q42" i="7"/>
  <c r="B42" i="7"/>
  <c r="D42" i="7"/>
  <c r="E42" i="7" s="1"/>
  <c r="F42" i="7" s="1"/>
  <c r="A43" i="7"/>
  <c r="P42" i="7"/>
  <c r="C43" i="7"/>
  <c r="M39" i="7"/>
  <c r="R39" i="7"/>
  <c r="I40" i="7"/>
  <c r="J40" i="7"/>
  <c r="L40" i="7" s="1"/>
  <c r="T43" i="13" l="1"/>
  <c r="H43" i="13"/>
  <c r="K43" i="13" s="1"/>
  <c r="G43" i="13"/>
  <c r="J42" i="13"/>
  <c r="L42" i="13" s="1"/>
  <c r="I42" i="13"/>
  <c r="P44" i="13"/>
  <c r="D44" i="13"/>
  <c r="B44" i="13"/>
  <c r="S44" i="13"/>
  <c r="M44" i="13"/>
  <c r="F44" i="13"/>
  <c r="E44" i="13"/>
  <c r="R44" i="13"/>
  <c r="Q44" i="13"/>
  <c r="A45" i="13"/>
  <c r="C45" i="13"/>
  <c r="C46" i="13" s="1"/>
  <c r="D50" i="13" s="1"/>
  <c r="N43" i="13"/>
  <c r="O43" i="13" s="1"/>
  <c r="D50" i="8"/>
  <c r="I57" i="8" s="1"/>
  <c r="I71" i="8" s="1"/>
  <c r="I85" i="8" s="1"/>
  <c r="H100" i="8" s="1"/>
  <c r="C3" i="9"/>
  <c r="S39" i="11"/>
  <c r="T39" i="11" s="1"/>
  <c r="R41" i="11"/>
  <c r="M41" i="11"/>
  <c r="N41" i="11" s="1"/>
  <c r="O41" i="11" s="1"/>
  <c r="J42" i="11"/>
  <c r="L42" i="11" s="1"/>
  <c r="I42" i="11"/>
  <c r="G43" i="11"/>
  <c r="H43" i="11"/>
  <c r="K43" i="11" s="1"/>
  <c r="D44" i="11"/>
  <c r="E44" i="11" s="1"/>
  <c r="F44" i="11" s="1"/>
  <c r="B44" i="11"/>
  <c r="Q44" i="11"/>
  <c r="P44" i="11"/>
  <c r="C45" i="11"/>
  <c r="C46" i="11" s="1"/>
  <c r="D50" i="11" s="1"/>
  <c r="A45" i="11"/>
  <c r="D4" i="9"/>
  <c r="T43" i="10"/>
  <c r="N43" i="10"/>
  <c r="O43" i="10" s="1"/>
  <c r="J42" i="10"/>
  <c r="L42" i="10" s="1"/>
  <c r="I42" i="10"/>
  <c r="F44" i="10"/>
  <c r="B44" i="10"/>
  <c r="S44" i="10"/>
  <c r="Q44" i="10"/>
  <c r="P44" i="10"/>
  <c r="E44" i="10"/>
  <c r="M44" i="10"/>
  <c r="D44" i="10"/>
  <c r="R44" i="10"/>
  <c r="C45" i="10"/>
  <c r="C46" i="10" s="1"/>
  <c r="D50" i="10" s="1"/>
  <c r="A45" i="10"/>
  <c r="H43" i="10"/>
  <c r="K43" i="10" s="1"/>
  <c r="G43" i="10"/>
  <c r="N38" i="8"/>
  <c r="O38" i="8" s="1"/>
  <c r="M39" i="8"/>
  <c r="R45" i="8"/>
  <c r="B45" i="8"/>
  <c r="B46" i="8" s="1"/>
  <c r="Q45" i="8"/>
  <c r="P45" i="8"/>
  <c r="P46" i="8" s="1"/>
  <c r="F45" i="8"/>
  <c r="D45" i="8"/>
  <c r="D46" i="8" s="1"/>
  <c r="S45" i="8"/>
  <c r="M45" i="8"/>
  <c r="E45" i="8"/>
  <c r="E46" i="8" s="1"/>
  <c r="A46" i="8"/>
  <c r="S37" i="8"/>
  <c r="T36" i="8"/>
  <c r="H44" i="8"/>
  <c r="K44" i="8" s="1"/>
  <c r="G44" i="8"/>
  <c r="R42" i="8"/>
  <c r="N44" i="8"/>
  <c r="O44" i="8" s="1"/>
  <c r="D55" i="8"/>
  <c r="D51" i="8"/>
  <c r="D67" i="8"/>
  <c r="D78" i="8"/>
  <c r="T44" i="8"/>
  <c r="J43" i="8"/>
  <c r="L43" i="8" s="1"/>
  <c r="I43" i="8"/>
  <c r="G42" i="7"/>
  <c r="H42" i="7"/>
  <c r="K42" i="7" s="1"/>
  <c r="R40" i="7"/>
  <c r="M40" i="7"/>
  <c r="I41" i="7"/>
  <c r="J41" i="7"/>
  <c r="L41" i="7" s="1"/>
  <c r="T37" i="7"/>
  <c r="S38" i="7"/>
  <c r="A44" i="7"/>
  <c r="Q43" i="7"/>
  <c r="D43" i="7"/>
  <c r="E43" i="7" s="1"/>
  <c r="F43" i="7" s="1"/>
  <c r="P43" i="7"/>
  <c r="B43" i="7"/>
  <c r="C44" i="7"/>
  <c r="N39" i="7"/>
  <c r="O39" i="7" s="1"/>
  <c r="H44" i="13" l="1"/>
  <c r="K44" i="13" s="1"/>
  <c r="G44" i="13"/>
  <c r="N44" i="13"/>
  <c r="O44" i="13" s="1"/>
  <c r="D51" i="13"/>
  <c r="D67" i="13"/>
  <c r="D55" i="13"/>
  <c r="D78" i="13"/>
  <c r="B45" i="13"/>
  <c r="B46" i="13" s="1"/>
  <c r="S45" i="13"/>
  <c r="S46" i="13" s="1"/>
  <c r="M45" i="13"/>
  <c r="R45" i="13"/>
  <c r="R46" i="13" s="1"/>
  <c r="F45" i="13"/>
  <c r="Q45" i="13"/>
  <c r="E45" i="13"/>
  <c r="E46" i="13" s="1"/>
  <c r="D45" i="13"/>
  <c r="D46" i="13" s="1"/>
  <c r="I83" i="13" s="1"/>
  <c r="P45" i="13"/>
  <c r="P46" i="13" s="1"/>
  <c r="A46" i="13"/>
  <c r="J43" i="13"/>
  <c r="L43" i="13" s="1"/>
  <c r="I43" i="13"/>
  <c r="T44" i="13"/>
  <c r="S40" i="11"/>
  <c r="T40" i="11" s="1"/>
  <c r="R42" i="11"/>
  <c r="M42" i="11"/>
  <c r="N42" i="11" s="1"/>
  <c r="O42" i="11" s="1"/>
  <c r="H44" i="11"/>
  <c r="K44" i="11" s="1"/>
  <c r="G44" i="11"/>
  <c r="J43" i="11"/>
  <c r="L43" i="11" s="1"/>
  <c r="I43" i="11"/>
  <c r="D67" i="11"/>
  <c r="D51" i="11"/>
  <c r="D55" i="11"/>
  <c r="D78" i="11"/>
  <c r="B45" i="11"/>
  <c r="B46" i="11" s="1"/>
  <c r="Q45" i="11"/>
  <c r="P45" i="11"/>
  <c r="P46" i="11" s="1"/>
  <c r="D45" i="11"/>
  <c r="D46" i="11" s="1"/>
  <c r="I83" i="11" s="1"/>
  <c r="A46" i="11"/>
  <c r="J4" i="9"/>
  <c r="F4" i="9"/>
  <c r="H4" i="9"/>
  <c r="J43" i="10"/>
  <c r="L43" i="10" s="1"/>
  <c r="I43" i="10"/>
  <c r="T44" i="10"/>
  <c r="R45" i="10"/>
  <c r="R46" i="10" s="1"/>
  <c r="B45" i="10"/>
  <c r="B46" i="10" s="1"/>
  <c r="S45" i="10"/>
  <c r="S46" i="10" s="1"/>
  <c r="Q45" i="10"/>
  <c r="F45" i="10"/>
  <c r="E45" i="10"/>
  <c r="E46" i="10" s="1"/>
  <c r="M45" i="10"/>
  <c r="D45" i="10"/>
  <c r="D46" i="10" s="1"/>
  <c r="I83" i="10" s="1"/>
  <c r="P45" i="10"/>
  <c r="P46" i="10" s="1"/>
  <c r="A46" i="10"/>
  <c r="D67" i="10"/>
  <c r="D51" i="10"/>
  <c r="I57" i="10"/>
  <c r="I71" i="10" s="1"/>
  <c r="I85" i="10" s="1"/>
  <c r="H100" i="10" s="1"/>
  <c r="D55" i="10"/>
  <c r="D78" i="10"/>
  <c r="H44" i="10"/>
  <c r="K44" i="10" s="1"/>
  <c r="G44" i="10"/>
  <c r="N44" i="10"/>
  <c r="O44" i="10" s="1"/>
  <c r="H45" i="8"/>
  <c r="G45" i="8"/>
  <c r="F46" i="8"/>
  <c r="T45" i="8"/>
  <c r="Q46" i="8"/>
  <c r="T37" i="8"/>
  <c r="S38" i="8"/>
  <c r="R46" i="8"/>
  <c r="R43" i="8"/>
  <c r="N45" i="8"/>
  <c r="N39" i="8"/>
  <c r="O39" i="8" s="1"/>
  <c r="M40" i="8"/>
  <c r="D72" i="8"/>
  <c r="D73" i="8" s="1"/>
  <c r="D68" i="8"/>
  <c r="D69" i="8" s="1"/>
  <c r="D56" i="8"/>
  <c r="D57" i="8" s="1"/>
  <c r="D6" i="9" s="1"/>
  <c r="F6" i="9" s="1"/>
  <c r="D52" i="8"/>
  <c r="D53" i="8" s="1"/>
  <c r="D5" i="9" s="1"/>
  <c r="F5" i="9" s="1"/>
  <c r="D79" i="8"/>
  <c r="J78" i="8"/>
  <c r="I78" i="8"/>
  <c r="G78" i="8"/>
  <c r="G79" i="8" s="1"/>
  <c r="D91" i="8"/>
  <c r="D83" i="8"/>
  <c r="J44" i="8"/>
  <c r="L44" i="8" s="1"/>
  <c r="I44" i="8"/>
  <c r="G43" i="7"/>
  <c r="H43" i="7"/>
  <c r="K43" i="7" s="1"/>
  <c r="R41" i="7"/>
  <c r="M41" i="7"/>
  <c r="N40" i="7"/>
  <c r="O40" i="7" s="1"/>
  <c r="E44" i="7"/>
  <c r="F44" i="7" s="1"/>
  <c r="P44" i="7"/>
  <c r="Q44" i="7"/>
  <c r="D44" i="7"/>
  <c r="C45" i="7"/>
  <c r="C46" i="7" s="1"/>
  <c r="B44" i="7"/>
  <c r="A45" i="7"/>
  <c r="S39" i="7"/>
  <c r="T38" i="7"/>
  <c r="I42" i="7"/>
  <c r="J42" i="7"/>
  <c r="L42" i="7" s="1"/>
  <c r="T45" i="13" l="1"/>
  <c r="T46" i="13" s="1"/>
  <c r="Q46" i="13"/>
  <c r="I57" i="13"/>
  <c r="I71" i="13" s="1"/>
  <c r="I85" i="13" s="1"/>
  <c r="H100" i="13" s="1"/>
  <c r="D53" i="13"/>
  <c r="H45" i="13"/>
  <c r="G45" i="13"/>
  <c r="F46" i="13"/>
  <c r="J78" i="13"/>
  <c r="I78" i="13"/>
  <c r="G78" i="13"/>
  <c r="G79" i="13" s="1"/>
  <c r="D91" i="13"/>
  <c r="D79" i="13"/>
  <c r="D83" i="13"/>
  <c r="J44" i="13"/>
  <c r="L44" i="13" s="1"/>
  <c r="I44" i="13"/>
  <c r="N45" i="13"/>
  <c r="N46" i="13" s="1"/>
  <c r="M46" i="13"/>
  <c r="D72" i="13"/>
  <c r="D68" i="13"/>
  <c r="D56" i="13"/>
  <c r="D57" i="13" s="1"/>
  <c r="S41" i="11"/>
  <c r="T41" i="11" s="1"/>
  <c r="M43" i="11"/>
  <c r="N43" i="11" s="1"/>
  <c r="O43" i="11" s="1"/>
  <c r="R43" i="11"/>
  <c r="E45" i="11"/>
  <c r="Q46" i="11"/>
  <c r="D52" i="11"/>
  <c r="D53" i="11" s="1"/>
  <c r="D56" i="11"/>
  <c r="D57" i="11" s="1"/>
  <c r="J44" i="11"/>
  <c r="L44" i="11" s="1"/>
  <c r="I44" i="11"/>
  <c r="D68" i="11"/>
  <c r="D72" i="11"/>
  <c r="D79" i="11"/>
  <c r="J78" i="11"/>
  <c r="G78" i="11"/>
  <c r="G79" i="11" s="1"/>
  <c r="D91" i="11"/>
  <c r="D83" i="11"/>
  <c r="I78" i="11"/>
  <c r="I57" i="11"/>
  <c r="I71" i="11" s="1"/>
  <c r="I85" i="11" s="1"/>
  <c r="H100" i="11" s="1"/>
  <c r="H45" i="10"/>
  <c r="G45" i="10"/>
  <c r="F46" i="10"/>
  <c r="D52" i="10"/>
  <c r="D53" i="10" s="1"/>
  <c r="T45" i="10"/>
  <c r="T46" i="10" s="1"/>
  <c r="Q46" i="10"/>
  <c r="D68" i="10"/>
  <c r="D72" i="10"/>
  <c r="J44" i="10"/>
  <c r="L44" i="10" s="1"/>
  <c r="I44" i="10"/>
  <c r="D79" i="10"/>
  <c r="J78" i="10"/>
  <c r="I78" i="10"/>
  <c r="G78" i="10"/>
  <c r="G79" i="10" s="1"/>
  <c r="D91" i="10"/>
  <c r="D83" i="10"/>
  <c r="N45" i="10"/>
  <c r="N46" i="10" s="1"/>
  <c r="M46" i="10"/>
  <c r="D56" i="10"/>
  <c r="D57" i="10" s="1"/>
  <c r="N40" i="8"/>
  <c r="O40" i="8" s="1"/>
  <c r="M41" i="8"/>
  <c r="T38" i="8"/>
  <c r="S39" i="8"/>
  <c r="D84" i="8"/>
  <c r="D85" i="8" s="1"/>
  <c r="J6" i="9" s="1"/>
  <c r="D80" i="8"/>
  <c r="D81" i="8" s="1"/>
  <c r="D92" i="8"/>
  <c r="D97" i="8"/>
  <c r="K91" i="8"/>
  <c r="K92" i="8" s="1"/>
  <c r="J91" i="8"/>
  <c r="J92" i="8" s="1"/>
  <c r="H91" i="8"/>
  <c r="F91" i="8"/>
  <c r="L91" i="8" s="1"/>
  <c r="G80" i="8"/>
  <c r="G81" i="8" s="1"/>
  <c r="J79" i="8"/>
  <c r="I79" i="8"/>
  <c r="O45" i="8"/>
  <c r="K69" i="8" a="1"/>
  <c r="D70" i="8"/>
  <c r="J45" i="8"/>
  <c r="I45" i="8"/>
  <c r="I46" i="8" s="1"/>
  <c r="G46" i="8"/>
  <c r="D74" i="8"/>
  <c r="K45" i="8"/>
  <c r="K46" i="8" s="1"/>
  <c r="H46" i="8"/>
  <c r="D50" i="7"/>
  <c r="H44" i="7"/>
  <c r="K44" i="7" s="1"/>
  <c r="G44" i="7"/>
  <c r="R42" i="7"/>
  <c r="M42" i="7"/>
  <c r="B45" i="7"/>
  <c r="B46" i="7" s="1"/>
  <c r="D45" i="7"/>
  <c r="Q45" i="7"/>
  <c r="P45" i="7"/>
  <c r="P46" i="7" s="1"/>
  <c r="A46" i="7"/>
  <c r="N41" i="7"/>
  <c r="O41" i="7" s="1"/>
  <c r="T39" i="7"/>
  <c r="S40" i="7"/>
  <c r="I43" i="7"/>
  <c r="J43" i="7"/>
  <c r="L43" i="7" s="1"/>
  <c r="O45" i="13" l="1"/>
  <c r="O46" i="13" s="1"/>
  <c r="K45" i="13"/>
  <c r="K46" i="13" s="1"/>
  <c r="H46" i="13"/>
  <c r="D69" i="13"/>
  <c r="D70" i="13" s="1"/>
  <c r="K69" i="13" a="1"/>
  <c r="K84" i="13" s="1"/>
  <c r="M97" i="13" s="1"/>
  <c r="M98" i="13" s="1"/>
  <c r="J91" i="13"/>
  <c r="J92" i="13" s="1"/>
  <c r="H91" i="13"/>
  <c r="F91" i="13"/>
  <c r="L91" i="13" s="1"/>
  <c r="L96" i="13" s="1"/>
  <c r="L97" i="13" s="1"/>
  <c r="D92" i="13"/>
  <c r="K91" i="13"/>
  <c r="K92" i="13" s="1"/>
  <c r="D97" i="13"/>
  <c r="D74" i="13"/>
  <c r="D73" i="13"/>
  <c r="D85" i="13"/>
  <c r="D84" i="13"/>
  <c r="G80" i="13"/>
  <c r="G81" i="13"/>
  <c r="J79" i="13"/>
  <c r="I79" i="13"/>
  <c r="D80" i="13"/>
  <c r="D81" i="13" s="1"/>
  <c r="I45" i="13"/>
  <c r="I46" i="13" s="1"/>
  <c r="J45" i="13"/>
  <c r="G46" i="13"/>
  <c r="F93" i="13"/>
  <c r="D61" i="13"/>
  <c r="F61" i="13" s="1"/>
  <c r="V46" i="13"/>
  <c r="V48" i="13" s="1"/>
  <c r="D60" i="13"/>
  <c r="V52" i="13"/>
  <c r="H6" i="9"/>
  <c r="S42" i="11"/>
  <c r="T42" i="11" s="1"/>
  <c r="E46" i="11"/>
  <c r="F45" i="11"/>
  <c r="M44" i="11"/>
  <c r="N44" i="11" s="1"/>
  <c r="O44" i="11" s="1"/>
  <c r="R44" i="11"/>
  <c r="D92" i="11"/>
  <c r="D97" i="11"/>
  <c r="K91" i="11"/>
  <c r="K92" i="11" s="1"/>
  <c r="J91" i="11"/>
  <c r="J92" i="11" s="1"/>
  <c r="F91" i="11"/>
  <c r="L91" i="11" s="1"/>
  <c r="L96" i="11" s="1"/>
  <c r="L97" i="11" s="1"/>
  <c r="H91" i="11"/>
  <c r="D69" i="11"/>
  <c r="D70" i="11" s="1"/>
  <c r="K69" i="11" a="1"/>
  <c r="K84" i="11" s="1"/>
  <c r="M97" i="11" s="1"/>
  <c r="M98" i="11" s="1"/>
  <c r="D73" i="11"/>
  <c r="D74" i="11" s="1"/>
  <c r="D84" i="11"/>
  <c r="D85" i="11" s="1"/>
  <c r="J79" i="11"/>
  <c r="I79" i="11"/>
  <c r="G80" i="11"/>
  <c r="G81" i="11" s="1"/>
  <c r="D80" i="11"/>
  <c r="D81" i="11" s="1"/>
  <c r="H8" i="9"/>
  <c r="D8" i="9"/>
  <c r="L96" i="8"/>
  <c r="L97" i="8" s="1"/>
  <c r="J15" i="9" s="1"/>
  <c r="K84" i="8"/>
  <c r="D15" i="9"/>
  <c r="D92" i="10"/>
  <c r="D97" i="10"/>
  <c r="K91" i="10"/>
  <c r="K92" i="10" s="1"/>
  <c r="J91" i="10"/>
  <c r="H91" i="10"/>
  <c r="F91" i="10"/>
  <c r="L91" i="10" s="1"/>
  <c r="L96" i="10" s="1"/>
  <c r="L97" i="10" s="1"/>
  <c r="D69" i="10"/>
  <c r="D70" i="10"/>
  <c r="K69" i="10" a="1"/>
  <c r="K84" i="10" s="1"/>
  <c r="M97" i="10" s="1"/>
  <c r="M98" i="10" s="1"/>
  <c r="D80" i="10"/>
  <c r="D81" i="10" s="1"/>
  <c r="J79" i="10"/>
  <c r="I79" i="10"/>
  <c r="G80" i="10"/>
  <c r="G81" i="10" s="1"/>
  <c r="O45" i="10"/>
  <c r="O46" i="10" s="1"/>
  <c r="J45" i="10"/>
  <c r="I45" i="10"/>
  <c r="I46" i="10" s="1"/>
  <c r="G46" i="10"/>
  <c r="D61" i="10"/>
  <c r="F61" i="10" s="1"/>
  <c r="V52" i="10"/>
  <c r="F93" i="10"/>
  <c r="H72" i="10"/>
  <c r="F99" i="10" s="1"/>
  <c r="D60" i="10"/>
  <c r="V46" i="10"/>
  <c r="V48" i="10" s="1"/>
  <c r="D84" i="10"/>
  <c r="D85" i="10" s="1"/>
  <c r="D73" i="10"/>
  <c r="D74" i="10" s="1"/>
  <c r="K45" i="10"/>
  <c r="K46" i="10" s="1"/>
  <c r="H46" i="10"/>
  <c r="I80" i="8"/>
  <c r="I81" i="8" s="1"/>
  <c r="S40" i="8"/>
  <c r="T39" i="8"/>
  <c r="D98" i="8"/>
  <c r="D99" i="8" s="1"/>
  <c r="L45" i="8"/>
  <c r="L46" i="8" s="1"/>
  <c r="J46" i="8"/>
  <c r="J80" i="8"/>
  <c r="J81" i="8" s="1"/>
  <c r="N41" i="8"/>
  <c r="M42" i="8"/>
  <c r="D93" i="8"/>
  <c r="D94" i="8" s="1"/>
  <c r="J8" i="9" s="1"/>
  <c r="H92" i="8"/>
  <c r="D55" i="7"/>
  <c r="D78" i="7"/>
  <c r="D67" i="7"/>
  <c r="D51" i="7"/>
  <c r="D46" i="7"/>
  <c r="I83" i="7" s="1"/>
  <c r="T40" i="7"/>
  <c r="S41" i="7"/>
  <c r="Q46" i="7"/>
  <c r="R43" i="7"/>
  <c r="M43" i="7"/>
  <c r="I44" i="7"/>
  <c r="J44" i="7"/>
  <c r="L44" i="7" s="1"/>
  <c r="N42" i="7"/>
  <c r="O42" i="7" s="1"/>
  <c r="E45" i="7"/>
  <c r="H72" i="13" l="1"/>
  <c r="D62" i="13"/>
  <c r="G84" i="13" s="1"/>
  <c r="F99" i="13" s="1"/>
  <c r="F60" i="13"/>
  <c r="F62" i="13" s="1"/>
  <c r="F63" i="13" s="1"/>
  <c r="F64" i="13" s="1"/>
  <c r="J80" i="13"/>
  <c r="J81" i="13" s="1"/>
  <c r="L45" i="13"/>
  <c r="L46" i="13" s="1"/>
  <c r="J46" i="13"/>
  <c r="D99" i="13"/>
  <c r="D98" i="13"/>
  <c r="D93" i="13"/>
  <c r="D94" i="13" s="1"/>
  <c r="F94" i="13"/>
  <c r="K94" i="13" s="1"/>
  <c r="K95" i="13" s="1"/>
  <c r="I80" i="13"/>
  <c r="I81" i="13" s="1"/>
  <c r="H92" i="13"/>
  <c r="S43" i="11"/>
  <c r="T43" i="11" s="1"/>
  <c r="G45" i="11"/>
  <c r="F46" i="11"/>
  <c r="H45" i="11"/>
  <c r="J80" i="11"/>
  <c r="J81" i="11" s="1"/>
  <c r="D98" i="11"/>
  <c r="D99" i="11" s="1"/>
  <c r="H92" i="11"/>
  <c r="I80" i="11"/>
  <c r="I81" i="11" s="1"/>
  <c r="D93" i="11"/>
  <c r="D94" i="11" s="1"/>
  <c r="M97" i="8"/>
  <c r="M98" i="8" s="1"/>
  <c r="J16" i="9" s="1"/>
  <c r="F15" i="9"/>
  <c r="F94" i="10"/>
  <c r="K94" i="10" s="1"/>
  <c r="H92" i="10"/>
  <c r="F60" i="10"/>
  <c r="F62" i="10" s="1"/>
  <c r="F63" i="10" s="1"/>
  <c r="F64" i="10" s="1"/>
  <c r="D62" i="10"/>
  <c r="I80" i="10"/>
  <c r="I81" i="10" s="1"/>
  <c r="J80" i="10"/>
  <c r="J81" i="10" s="1"/>
  <c r="L45" i="10"/>
  <c r="L46" i="10" s="1"/>
  <c r="J46" i="10"/>
  <c r="K95" i="10"/>
  <c r="D98" i="10"/>
  <c r="D99" i="10" s="1"/>
  <c r="D93" i="10"/>
  <c r="D94" i="10" s="1"/>
  <c r="S41" i="8"/>
  <c r="T40" i="8"/>
  <c r="O41" i="8"/>
  <c r="N42" i="8"/>
  <c r="M43" i="8"/>
  <c r="D91" i="7"/>
  <c r="J78" i="7"/>
  <c r="D83" i="7"/>
  <c r="I78" i="7"/>
  <c r="G78" i="7"/>
  <c r="G79" i="7" s="1"/>
  <c r="D79" i="7"/>
  <c r="D80" i="7" s="1"/>
  <c r="D68" i="7"/>
  <c r="D72" i="7"/>
  <c r="D52" i="7"/>
  <c r="D53" i="7" s="1"/>
  <c r="D56" i="7"/>
  <c r="D57" i="7" s="1"/>
  <c r="M44" i="7"/>
  <c r="R44" i="7"/>
  <c r="E46" i="7"/>
  <c r="F45" i="7"/>
  <c r="N43" i="7"/>
  <c r="O43" i="7" s="1"/>
  <c r="S42" i="7"/>
  <c r="T41" i="7"/>
  <c r="H94" i="13" l="1"/>
  <c r="H95" i="13" s="1"/>
  <c r="K96" i="13"/>
  <c r="K97" i="13" s="1"/>
  <c r="J94" i="13"/>
  <c r="J95" i="13" s="1"/>
  <c r="S44" i="11"/>
  <c r="T44" i="11" s="1"/>
  <c r="K45" i="11"/>
  <c r="K46" i="11" s="1"/>
  <c r="H46" i="11"/>
  <c r="J45" i="11"/>
  <c r="I45" i="11"/>
  <c r="I46" i="11" s="1"/>
  <c r="G46" i="11"/>
  <c r="K96" i="10"/>
  <c r="K97" i="10" s="1"/>
  <c r="H94" i="10"/>
  <c r="H95" i="10" s="1"/>
  <c r="O42" i="8"/>
  <c r="N43" i="8"/>
  <c r="N46" i="8" s="1"/>
  <c r="M46" i="8"/>
  <c r="S42" i="8"/>
  <c r="T41" i="8"/>
  <c r="D69" i="7"/>
  <c r="D70" i="7" s="1"/>
  <c r="K69" i="7" a="1"/>
  <c r="F91" i="7"/>
  <c r="L91" i="7" s="1"/>
  <c r="L96" i="7" s="1"/>
  <c r="L97" i="7" s="1"/>
  <c r="D97" i="7"/>
  <c r="D92" i="7"/>
  <c r="J91" i="7"/>
  <c r="J92" i="7" s="1"/>
  <c r="H91" i="7"/>
  <c r="K91" i="7"/>
  <c r="K92" i="7" s="1"/>
  <c r="I79" i="7"/>
  <c r="I80" i="7" s="1"/>
  <c r="I81" i="7" s="1"/>
  <c r="J79" i="7"/>
  <c r="D81" i="7"/>
  <c r="D84" i="7"/>
  <c r="D85" i="7" s="1"/>
  <c r="G80" i="7"/>
  <c r="G81" i="7" s="1"/>
  <c r="D73" i="7"/>
  <c r="D74" i="7" s="1"/>
  <c r="G45" i="7"/>
  <c r="H45" i="7"/>
  <c r="F46" i="7"/>
  <c r="S43" i="7"/>
  <c r="T42" i="7"/>
  <c r="N44" i="7"/>
  <c r="O44" i="7" s="1"/>
  <c r="H96" i="13" l="1"/>
  <c r="H97" i="13" s="1"/>
  <c r="J96" i="13"/>
  <c r="J97" i="13"/>
  <c r="L45" i="11"/>
  <c r="J46" i="11"/>
  <c r="J96" i="10"/>
  <c r="J97" i="10" s="1"/>
  <c r="H96" i="10"/>
  <c r="H97" i="10" s="1"/>
  <c r="S43" i="8"/>
  <c r="T42" i="8"/>
  <c r="O43" i="8"/>
  <c r="O46" i="8" s="1"/>
  <c r="K84" i="7"/>
  <c r="M97" i="7" s="1"/>
  <c r="M98" i="7" s="1"/>
  <c r="H92" i="7"/>
  <c r="D98" i="7"/>
  <c r="D99" i="7" s="1"/>
  <c r="D93" i="7"/>
  <c r="D94" i="7" s="1"/>
  <c r="J80" i="7"/>
  <c r="J81" i="7" s="1"/>
  <c r="K45" i="7"/>
  <c r="K46" i="7" s="1"/>
  <c r="H46" i="7"/>
  <c r="T43" i="7"/>
  <c r="S44" i="7"/>
  <c r="J45" i="7"/>
  <c r="I45" i="7"/>
  <c r="I46" i="7" s="1"/>
  <c r="G46" i="7"/>
  <c r="L46" i="11" l="1"/>
  <c r="M45" i="11"/>
  <c r="R45" i="11"/>
  <c r="T43" i="8"/>
  <c r="T46" i="8" s="1"/>
  <c r="S46" i="8"/>
  <c r="L45" i="7"/>
  <c r="J46" i="7"/>
  <c r="T44" i="7"/>
  <c r="R46" i="11" l="1"/>
  <c r="S45" i="11"/>
  <c r="N45" i="11"/>
  <c r="N46" i="11" s="1"/>
  <c r="M46" i="11"/>
  <c r="F93" i="8"/>
  <c r="V46" i="8"/>
  <c r="V48" i="8" s="1"/>
  <c r="V52" i="8"/>
  <c r="D61" i="8"/>
  <c r="F61" i="8" s="1"/>
  <c r="D60" i="8"/>
  <c r="H72" i="8" s="1"/>
  <c r="F14" i="9" s="1"/>
  <c r="L46" i="7"/>
  <c r="M45" i="7"/>
  <c r="R45" i="7"/>
  <c r="O45" i="11" l="1"/>
  <c r="O46" i="11" s="1"/>
  <c r="S46" i="11"/>
  <c r="T45" i="11"/>
  <c r="T46" i="11" s="1"/>
  <c r="D62" i="8"/>
  <c r="G84" i="8" s="1"/>
  <c r="F99" i="8" s="1"/>
  <c r="F60" i="8"/>
  <c r="F62" i="8" s="1"/>
  <c r="F63" i="8" s="1"/>
  <c r="F94" i="8"/>
  <c r="N45" i="7"/>
  <c r="N46" i="7" s="1"/>
  <c r="M46" i="7"/>
  <c r="R46" i="7"/>
  <c r="S45" i="7"/>
  <c r="D61" i="11" l="1"/>
  <c r="F61" i="11" s="1"/>
  <c r="V52" i="11"/>
  <c r="F93" i="11"/>
  <c r="V46" i="11"/>
  <c r="V48" i="11" s="1"/>
  <c r="D60" i="11"/>
  <c r="F60" i="11" s="1"/>
  <c r="F62" i="11" s="1"/>
  <c r="K94" i="8"/>
  <c r="K95" i="8" s="1"/>
  <c r="K96" i="8" s="1"/>
  <c r="K97" i="8" s="1"/>
  <c r="F64" i="8"/>
  <c r="F8" i="9"/>
  <c r="H94" i="8"/>
  <c r="H95" i="8" s="1"/>
  <c r="H96" i="8" s="1"/>
  <c r="H97" i="8" s="1"/>
  <c r="J94" i="8"/>
  <c r="J95" i="8" s="1"/>
  <c r="J96" i="8" s="1"/>
  <c r="J97" i="8" s="1"/>
  <c r="O45" i="7"/>
  <c r="O46" i="7" s="1"/>
  <c r="S46" i="7"/>
  <c r="T45" i="7"/>
  <c r="T46" i="7" s="1"/>
  <c r="V52" i="7" s="1"/>
  <c r="F63" i="11" l="1"/>
  <c r="F64" i="11" s="1"/>
  <c r="M79" i="11"/>
  <c r="M80" i="11" s="1"/>
  <c r="D62" i="11"/>
  <c r="G84" i="11" s="1"/>
  <c r="H72" i="11"/>
  <c r="F94" i="11"/>
  <c r="K94" i="11" s="1"/>
  <c r="K95" i="11" s="1"/>
  <c r="K96" i="11" s="1"/>
  <c r="K97" i="11" s="1"/>
  <c r="J94" i="11"/>
  <c r="J95" i="11" s="1"/>
  <c r="J96" i="11" s="1"/>
  <c r="J97" i="11" s="1"/>
  <c r="H72" i="7"/>
  <c r="F99" i="7" s="1"/>
  <c r="V46" i="7"/>
  <c r="V48" i="7" s="1"/>
  <c r="F93" i="7"/>
  <c r="D60" i="7"/>
  <c r="F60" i="7" s="1"/>
  <c r="D61" i="7"/>
  <c r="F61" i="7" s="1"/>
  <c r="H94" i="11" l="1"/>
  <c r="H95" i="11" s="1"/>
  <c r="H96" i="11" s="1"/>
  <c r="H97" i="11" s="1"/>
  <c r="F99" i="11"/>
  <c r="F94" i="7"/>
  <c r="K94" i="7" s="1"/>
  <c r="K95" i="7" s="1"/>
  <c r="F62" i="7"/>
  <c r="F63" i="7" s="1"/>
  <c r="F64" i="7" s="1"/>
  <c r="D62" i="7"/>
  <c r="H94" i="7" l="1"/>
  <c r="H95" i="7" s="1"/>
  <c r="H96" i="7" s="1"/>
  <c r="H97" i="7" s="1"/>
  <c r="J94" i="7"/>
  <c r="J95" i="7" s="1"/>
  <c r="K96" i="7"/>
  <c r="K97" i="7" s="1"/>
  <c r="J96" i="7"/>
  <c r="J97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<sst xmlns="http://schemas.openxmlformats.org/spreadsheetml/2006/main" count="897" uniqueCount="200">
  <si>
    <t>वर्ष</t>
  </si>
  <si>
    <t>महागाई भत्ता</t>
  </si>
  <si>
    <t>बेसीक + महागाई भत्ता</t>
  </si>
  <si>
    <t>महागाई भत्ता दर</t>
  </si>
  <si>
    <t>एकुण जमा होणारी रक्कम</t>
  </si>
  <si>
    <t>कमीत कमी 6% दराने व्याज</t>
  </si>
  <si>
    <t>एका वर्षात जमा होणारी एकुण रक्कम</t>
  </si>
  <si>
    <t>व्याजासह रक्कम</t>
  </si>
  <si>
    <t>sbi NAV</t>
  </si>
  <si>
    <t>sbi NAV DATE</t>
  </si>
  <si>
    <t>UNITS</t>
  </si>
  <si>
    <t>10% एका वर्षात जमा होणारी रक्कम (12 महीने)</t>
  </si>
  <si>
    <t>Grade Pay  1900      S-6</t>
  </si>
  <si>
    <t xml:space="preserve">कर्मचाऱ्याची कपात  10% </t>
  </si>
  <si>
    <t>शासनाचे 10% &amp; 14% रक्कम dcps</t>
  </si>
  <si>
    <t>शासनाचे10% &amp; 14% एका वर्षात जमा होणारी रक्कम (12 महीने)</t>
  </si>
  <si>
    <t>Cumulative UNITS</t>
  </si>
  <si>
    <t xml:space="preserve">Last Basic </t>
  </si>
  <si>
    <t>Pension</t>
  </si>
  <si>
    <t>D.A</t>
  </si>
  <si>
    <t>एकुण रक्कम (10+11) contribution per year</t>
  </si>
  <si>
    <t>Total  Family Pension</t>
  </si>
  <si>
    <t>Designation</t>
  </si>
  <si>
    <t xml:space="preserve"> Senior  Clerk</t>
  </si>
  <si>
    <t>Name :-</t>
  </si>
  <si>
    <t>Date Of Joining</t>
  </si>
  <si>
    <t xml:space="preserve">Date Of Birth </t>
  </si>
  <si>
    <t xml:space="preserve">Date Of Retirement </t>
  </si>
  <si>
    <t>Length of Service</t>
  </si>
  <si>
    <t>Today Date</t>
  </si>
  <si>
    <t>Todays Length of Service</t>
  </si>
  <si>
    <t>As Per NPS Transation Statement for Tire I Account Value of Your Holdings (Investments) as On Jan 31,2025</t>
  </si>
  <si>
    <t>01/01/2025 Basic</t>
  </si>
  <si>
    <t>NAV Base Amount</t>
  </si>
  <si>
    <t>Sr.  No</t>
  </si>
  <si>
    <t>Pension Calculation</t>
  </si>
  <si>
    <t>Sr.No</t>
  </si>
  <si>
    <t>Pension Basic</t>
  </si>
  <si>
    <t>Family Pension</t>
  </si>
  <si>
    <t>GPF निवृत्तीवेतन 1982</t>
  </si>
  <si>
    <t>NPS राष्ट्रीय निवृत्तीवेतन प्रणाली</t>
  </si>
  <si>
    <t>RNPS सुधारीत राष्ट्रीय निवृत्तीवेतन योजना</t>
  </si>
  <si>
    <t>UPS एकीकृत निवृत्तीवेतन योजना</t>
  </si>
  <si>
    <t>२० वर्षापेक्षा कमी व १० वर्षापेक्षा जास्त सेवा</t>
  </si>
  <si>
    <t>कमीत कमी 7500/- व त्यावरील महागाई भत्ता मिळेल</t>
  </si>
  <si>
    <t>१२ महीन्याचे सरासरी बेसीक व कमीत कमी २५ वर्ष सेवा १० वर्षाचे वर प्रमाणत निवृत्तीवेतन मिळेल</t>
  </si>
  <si>
    <t>कमीत कमी 10000</t>
  </si>
  <si>
    <t>Price Indax Based</t>
  </si>
  <si>
    <t>25 वर्ष सेवा व सर्व अटी पुर्ण केल्यास</t>
  </si>
  <si>
    <t>300/300</t>
  </si>
  <si>
    <t>D.A.</t>
  </si>
  <si>
    <t>Total Pension</t>
  </si>
  <si>
    <t>25 वर्षाचे आत सेवा असल्यास</t>
  </si>
  <si>
    <t>Personal carpus पुर्ण न भरल्यास</t>
  </si>
  <si>
    <t>Lump sum amount</t>
  </si>
  <si>
    <t>Amount</t>
  </si>
  <si>
    <t>Deails</t>
  </si>
  <si>
    <t>रजा रोखीकरण/ उपदान हे या व्यतिरीक्त मिळते.</t>
  </si>
  <si>
    <t>कर्मचारी सेवेत असतांना मयत झाल्यास पुढील १० वर्ष किंवा वयाची ६५ पर्यंत कुटूंब निवृत्तीवेतन पुर्ण भेटते. कर्मचारी सेवानिवृत्तीनंतर ७ वर्ष किंवा वयाची ६५ पर्यंत कुटूंब निवृत्तीवेतन  पुर्ण मिळते.</t>
  </si>
  <si>
    <t>रुग्णता सेवानिवृत्ती वेतन व सेवा निवृत्ती उपदान मिळते.</t>
  </si>
  <si>
    <t>सेवानिवृत्त होणाऱ्या कर्मचाऱ्यास फक्त उपदान मिळते.</t>
  </si>
  <si>
    <t>कर्मचारी सेवेत असतांना मृत्य झाल्यास कुटूंब निवृत्तीवेतन मिळते.  अन्यथा नाही.  कर्मचारी सेवेत असतांना मयत झाल्यास पुढील १० वर्ष किंवा वयाची ६५ पर्यंत कुटूंब निवृत्तीवेतन पुर्ण भेटते. कर्मचारी सेवानिवृत्तीनंतर ७ वर्ष किंवा वयाची ६५ पर्यंत कुटूंब निवृत्तीवेतन  पुर्ण मिळते.</t>
  </si>
  <si>
    <t>Family Pension Calculation after 10 or 7 or 65 years</t>
  </si>
  <si>
    <t>40% वर पेन्शन</t>
  </si>
  <si>
    <t>60% मिळालेली रक्कम गुंतवणुक केल्यास</t>
  </si>
  <si>
    <t>100% आपली एकुण जमा रक्कम</t>
  </si>
  <si>
    <t>NPS वर पेन्शन व गुंतवणुकीवरील व्याज</t>
  </si>
  <si>
    <t>निवृत्ती वेतन व NPS मधील तफावत</t>
  </si>
  <si>
    <t xml:space="preserve">२० वर्ष किंवा त्या पेक्षा जास्त सेवा झाल्यानंतर मिळणारे लाभ </t>
  </si>
  <si>
    <t>झालेल्या सेवेची वर्ष</t>
  </si>
  <si>
    <t>P</t>
  </si>
  <si>
    <t>Q</t>
  </si>
  <si>
    <t xml:space="preserve">IC </t>
  </si>
  <si>
    <t>BC</t>
  </si>
  <si>
    <t>Family Pension 60%</t>
  </si>
  <si>
    <t>P=Avarage Basic Pay 12months   Q= Length of Sevice Months    IC = Individual corpus of Employee      BC= Benchmark corpus</t>
  </si>
  <si>
    <t>कमीत कमी २५ वर्ष असल्यास</t>
  </si>
  <si>
    <t/>
  </si>
  <si>
    <t>2 x 300 xBC</t>
  </si>
  <si>
    <t>P x Q x IC</t>
  </si>
  <si>
    <t>10वर्षापेक्षा कमी सेवा असल्यास मिळत नाही.</t>
  </si>
  <si>
    <t>ही रक्कम कर्मचाऱ्यांचे वारसास मिळेल ती निवृत्तीवेतन या स्वरूपात</t>
  </si>
  <si>
    <t>या मध्ये ही रक्कम मिळणार नाही.</t>
  </si>
  <si>
    <t>10000 कमीत कमी</t>
  </si>
  <si>
    <t>निवृत्ती उपदान</t>
  </si>
  <si>
    <t>एवढी रक्कम उपदानाची कमी मिळेल NPS व RNPS चे तुलनेत</t>
  </si>
  <si>
    <t>Ranjit</t>
  </si>
  <si>
    <t>Amol</t>
  </si>
  <si>
    <t>Jr  Clerk</t>
  </si>
  <si>
    <t>अ.क्र.</t>
  </si>
  <si>
    <t>रजा रोखीकरण</t>
  </si>
  <si>
    <t>लाभ</t>
  </si>
  <si>
    <t>मिळते</t>
  </si>
  <si>
    <t>कुटूंब निवृत्तीवेतन</t>
  </si>
  <si>
    <t>निवृत्तीवेतन</t>
  </si>
  <si>
    <t>मिळत नाही</t>
  </si>
  <si>
    <t>नाही</t>
  </si>
  <si>
    <t>होय</t>
  </si>
  <si>
    <t>सेवेची अट</t>
  </si>
  <si>
    <t>10 वर्ष</t>
  </si>
  <si>
    <t>लागु नाही</t>
  </si>
  <si>
    <t>२० वर्ष</t>
  </si>
  <si>
    <t>25 वर्ष</t>
  </si>
  <si>
    <t>किमान पेन्शन</t>
  </si>
  <si>
    <t>7500 व त्यावरील महागाई भत्ता</t>
  </si>
  <si>
    <t>9000 व त्यावरील महागाई भत्ता</t>
  </si>
  <si>
    <t>रुग्णता निवृत्तीवेतन</t>
  </si>
  <si>
    <t>लागु</t>
  </si>
  <si>
    <t>कर्मचारी सेवेत असतांना मयत झाल्यास पुढील १० वर्ष किंवा वयाची ६५ पर्यंत कुटूंब निवृत्तीवेतन पुर्ण भेटते (100%) त्यानंतर 60%</t>
  </si>
  <si>
    <t>कर्मचारी सेवेत असतांना मयत झाल्यास पुढील १० वर्ष किंवा वयाची ६५ पर्यंत कुटूंब निवृत्तीवेतन पुर्ण भेटते (100%) व सेवानिवृत्ती नंतर ७ वर्ष किंवा वयाची ६५ जे आधी तो पर्यंत त्यानंतर 60%</t>
  </si>
  <si>
    <t>कुटूंब निवृत्तीवेतनाची गणना कशी केली जाते.</t>
  </si>
  <si>
    <t xml:space="preserve">पहील्याच दिवसापासुन 60% मिळते </t>
  </si>
  <si>
    <t>लाभाची रक्कम</t>
  </si>
  <si>
    <t>रजा रोखीकरण 300 दिवस</t>
  </si>
  <si>
    <t>सेवानिवृत्ती नंतर ७ वर्ष किंवा वयाची ६५ जे आधी तो पर्यंत त्यानंतर 60%</t>
  </si>
  <si>
    <t xml:space="preserve">कर्मचारी सेवेत असतांना मयत झाल्यास पुढील १० वर्ष किंवा वयाची ६५ पर्यंत कुटूंब निवृत्तीवेतन पुर्ण भेटते (100%) </t>
  </si>
  <si>
    <t>Pension/Family Pen</t>
  </si>
  <si>
    <t>मिळते, १० वर्षापेक्षा कमी सेवा असल्यास मिळत नाही 20 वर्ष सेवेनंतर</t>
  </si>
  <si>
    <t>मिळते २५ वर्ष सेवेनंतर</t>
  </si>
  <si>
    <t>नमुद नाही</t>
  </si>
  <si>
    <t>मिळत नाही NPS द्वारे</t>
  </si>
  <si>
    <t xml:space="preserve">मिळत नाही </t>
  </si>
  <si>
    <t>सेवा निवृत्ती उपदान /मृत्यु उपदान</t>
  </si>
  <si>
    <t>शासन निर्णयात सद्या उल्लेख नाही</t>
  </si>
  <si>
    <t xml:space="preserve"> मयत झाल्यास पुढील १० वर्ष किंवा वयाची ६५ नंतर 60%</t>
  </si>
  <si>
    <t>मयत झाल्या पासुन 60%</t>
  </si>
  <si>
    <t>होय Price Index</t>
  </si>
  <si>
    <t>10000 किंवा जर पूर्ण कॉर्पस जमा न केल्यास कमी होईल</t>
  </si>
  <si>
    <t>सेवेनुसार Lump sum amount मिळते</t>
  </si>
  <si>
    <t>मिळते ३०० दिवस मर्यादित</t>
  </si>
  <si>
    <t xml:space="preserve">OPS निवृत्तीवेतन 1982 </t>
  </si>
  <si>
    <t>संकलन :- प्रमोद महादेव पुरी, शासकिय कर्मचारी सेवार्थ Website :- https://pramodpuri.com  , Blog :- https://pwamt.blogspot.com ,Youtube Chanel :- https://www.youtube.com/c/PramodPuri/videos   Instagram :- https://www.instagram.com/shaskiya_karmachari_sevaarth/  , Telegram :- https://t.me/+R0EfE3yRJLcyODdl</t>
  </si>
  <si>
    <t>OPS निवृत्तीवेतन 1982,  NPS राष्ट्रीय निवृत्तीवेतन प्रणाली,  RNPS सुधारीत राष्ट्रीय निवृत्तीवेतन योजना व  UPS एकीकृत निवृत्तीवेतन योजना यांचा तुलनात्मक तक्ता</t>
  </si>
  <si>
    <t>होणारी सेवा</t>
  </si>
  <si>
    <t>रुजू दिनांक</t>
  </si>
  <si>
    <t>सेवा निवृत्ती चे वेळेस असणारे अंदाजे मुळवेतन</t>
  </si>
  <si>
    <t>से.निवृत्ती दिनांक</t>
  </si>
  <si>
    <t>या नुसार खालील लाभ मिळू शकतात</t>
  </si>
  <si>
    <t>अंशदान द्यावे लागते का?</t>
  </si>
  <si>
    <t>महागाई भत्ता निवृत्तीवेतन /कुटूंब निवृत्तीवेतनावर मिळते का?</t>
  </si>
  <si>
    <t>कर्मचारी व त्याचा जोडीदार मयत झाल्यानंतर त्यांचे मुला-मुलीनां किंवा वारसांना रक्कम मिळते का? व किती?</t>
  </si>
  <si>
    <t>गट विमा मिळते का?</t>
  </si>
  <si>
    <t>विकलांग/विधवा/अविवाहीत/अज्ञान अपत्य यांना कुटूंब निवृत्ती वेतन मिळते का?</t>
  </si>
  <si>
    <t>सेवेत असतांना मृत्यु झाल्यास त्यांचे वारसांना अनुकंपाचा लाभ मिळतो का?</t>
  </si>
  <si>
    <t>OPS निवृत्तीवेतन 1982,  NPS राष्ट्रीय निवृत्तीवेतन प्रणाली,  RNPS सुधारीत राष्ट्रीय निवृत्तीवेतन योजना  यांचा तुलनात्मक तक्ता</t>
  </si>
  <si>
    <t>महाराष्ट्र शासनाने ६ मे २०२६ रोजी निर्गमित केलेल्या या परिपत्रकातील सविस्तर तपशील खालीलप्रमाणे मुद्दे निहाय पाहू या:</t>
  </si>
  <si>
    <t>जे कर्मचारी हा विकल्प स्वीकारतील, त्यांनाच सेवानिवृत्तीनंतर ही योजना लागू होईल.</t>
  </si>
  <si>
    <t xml:space="preserve">ही योजना राष्ट्रीय निवृत्तिवेतन प्रणाली (NPS) लागू असलेल्या कर्मचाऱ्यांसाठी राज्य शासनाची एक सुधारित योजना आहे. </t>
  </si>
  <si>
    <t xml:space="preserve">पूर्ण निवृत्तिवेतन (२० वर्षे किंवा अधिक सेवा): ज्या कर्मचाऱ्यांची सेवा २० वर्षे किंवा त्यापेक्षा जास्त झाली आहे, त्यांना त्यांच्या शेवटच्या मूळ वेतनाच्या ५०% निवृत्तिवेतन आणि त्यावरील महागाई वाढ मिळेल. </t>
  </si>
  <si>
    <t>प्रमाणशीर निवृत्तिवेतन (१० ते २० वर्षे सेवा): ज्यांची सेवा १० वर्षांपेक्षा जास्त पण २० वर्षांपेक्षा कमी आहे, त्यांना त्यांच्या सेवेच्या प्रमाणात (Pro-rata) निवृत्तिवेतन दिले जाईल. समजा १३ वर्ष सेवा झाल्यास २० ला ५०टक्के तर १३ ला किती टक्के</t>
  </si>
  <si>
    <t xml:space="preserve">कुटुंब निवृत्तिवेतन: कर्मचाऱ्याच्या निवृत्तिवेतनाच्या ६०% रक्कम कुटुंब निवृत्तिवेतन म्हणून आणि त्यावरील महागाई वाढ वारसांना मिळेल. </t>
  </si>
  <si>
    <t>मिळते ६० %</t>
  </si>
  <si>
    <t>आर्थिक अटी आणि परतावा (Financial Conditions)</t>
  </si>
  <si>
    <t>परत करावी लागेल जसे</t>
  </si>
  <si>
    <t>•	४०% वार्षिकी (Annuity) समायोजन: शिल्लक ४०% निधीतून मिळणाऱ्या वार्षिकीचा (Annuity) तपशील सादर करावा लागेल. शासनाकडून दिले जाणारे निवृत्तिवेतन निश्चित करताना या वार्षिकीची रक्कम त्यातून वजा केली जाईल.</t>
  </si>
  <si>
    <t>परताव्याची रक्कम निरंक</t>
  </si>
  <si>
    <t xml:space="preserve">पूर्वी काढलेली रक्कम: जर कर्मचाऱ्याने पूर्वी NPS मधून काही रक्कम काढली असेल, तर ती १०% व्याजासह शासनाकडे जमा करावी लागेल. अन्यथा, निवृत्तिवेतन त्या प्रमाणात कमी केले जाईल. </t>
  </si>
  <si>
    <t>सेवा कालावधीत जर NPS मधुन ना परतावा काढला असल्यास ती रक्कम व त्यावरील व्याज १० टक्केनुसार शासन जमा करावे लागेल नाहीतर तेवढी रक्कम कमी होईल</t>
  </si>
  <si>
    <t>इतर महत्त्वाचे मुद्दे</t>
  </si>
  <si>
    <t xml:space="preserve">राजीनामा: राजीनामा दिलेल्या कर्मचाऱ्यांना ही सुधारित योजना लागू होणार नाही; त्यांना फक्त NPS चे लाभ मिळतील. </t>
  </si>
  <si>
    <t xml:space="preserve">निवृत्ती उपदान (Gratuity): या योजनेचा विकल्प स्वीकारलेल्या कर्मचाऱ्यांना प्रचलित नियमांनुसार सेवानिवृत्ती उपदान लागू राहील. </t>
  </si>
  <si>
    <t xml:space="preserve">OPS निवृत्तीवेतन 1982,  NPS राष्ट्रीय निवृत्तीवेतन प्रणाली,  RNPS सुधारीत राष्ट्रीय निवृत्तीवेतन योजना मध्ये साम्य असलेले मुद्दे </t>
  </si>
  <si>
    <r>
      <t xml:space="preserve">या योजनेचा लाभ घेण्यासाठी पात्र आणि इच्छुक कर्मचाऱ्यांनी </t>
    </r>
    <r>
      <rPr>
        <b/>
        <sz val="11"/>
        <rFont val="Nirmala UI"/>
        <family val="2"/>
      </rPr>
      <t>३१ डिसेंबर २०२६</t>
    </r>
    <r>
      <rPr>
        <sz val="11"/>
        <rFont val="Nirmala UI"/>
        <family val="2"/>
      </rPr>
      <t xml:space="preserve"> पर्यंत आपला विकल्प (Option) कार्यालय प्रमुखांकडे सादर करणे आवश्यक आहे.</t>
    </r>
  </si>
  <si>
    <r>
      <t>६०% निधीचा भरणा:</t>
    </r>
    <r>
      <rPr>
        <sz val="11"/>
        <rFont val="Nirmala UI"/>
        <family val="2"/>
      </rPr>
      <t xml:space="preserve"> सेवानिवृत्तीच्या वेळी PFRDA कडून मिळणारी </t>
    </r>
    <r>
      <rPr>
        <b/>
        <sz val="11"/>
        <rFont val="Nirmala UI"/>
        <family val="2"/>
      </rPr>
      <t>६०% परताव्याची रक्कम</t>
    </r>
    <r>
      <rPr>
        <sz val="11"/>
        <rFont val="Nirmala UI"/>
        <family val="2"/>
      </rPr>
      <t xml:space="preserve"> कर्मचाऱ्याने शासनाकडे जमा करणे अनिवार्य आहे. </t>
    </r>
  </si>
  <si>
    <t>सेवानिवृत्ती-मृत्यु उपदान</t>
  </si>
  <si>
    <t xml:space="preserve">नमुद केले नाही परंतु २०वर्षाचे आत सेवा असल्यास त्या प्रमाणात मिळण्याची शक्यता नाकारता येत नाही. </t>
  </si>
  <si>
    <t>01/01/2026 Basic</t>
  </si>
  <si>
    <t>Sr. No</t>
  </si>
  <si>
    <t>Year</t>
  </si>
  <si>
    <t>Basic</t>
  </si>
  <si>
    <t>DA</t>
  </si>
  <si>
    <t xml:space="preserve">Gross </t>
  </si>
  <si>
    <t>DA%</t>
  </si>
  <si>
    <t>Total</t>
  </si>
  <si>
    <t>G.Total</t>
  </si>
  <si>
    <t>As Per NPS Transation Statement for Tire I Account Value of Your Holdings (Investments) as On Jan 31,2026</t>
  </si>
  <si>
    <t>With Intrest</t>
  </si>
  <si>
    <t>Total Units</t>
  </si>
  <si>
    <t>Nav Amount</t>
  </si>
  <si>
    <t xml:space="preserve">एकुण रक्कम </t>
  </si>
  <si>
    <t xml:space="preserve"> 4% व्याज</t>
  </si>
  <si>
    <t>24%            (12 महीने)</t>
  </si>
  <si>
    <t>60%  गुंतवणुक केल्यास</t>
  </si>
  <si>
    <t>100% आपली रक्कम</t>
  </si>
  <si>
    <t>Pension &amp; Family Penstion</t>
  </si>
  <si>
    <t>12 Months Payment</t>
  </si>
  <si>
    <t>Cumulative Total</t>
  </si>
  <si>
    <t>NPS Total Amount</t>
  </si>
  <si>
    <t>NPS Pension Amount</t>
  </si>
  <si>
    <t>उदाहरण दाखल आपण असे समजु की, सेवानिवृत्त झाल्यानंतर कर्मचारी हा पुढील अंदाजे १५ /२० वर्ष पेन्शन घेईल असे समजू</t>
  </si>
  <si>
    <t xml:space="preserve">(कमीत कमी ७५०० व त्यावरील महागाई भत्ता अंदाजे  आजचे 11850/-)  </t>
  </si>
  <si>
    <t>शासन १४% व व्याज</t>
  </si>
  <si>
    <t>10%                   (12 महीने)</t>
  </si>
  <si>
    <t>DA 58%</t>
  </si>
  <si>
    <t>hra 10</t>
  </si>
  <si>
    <t>cla</t>
  </si>
  <si>
    <t>Ta</t>
  </si>
  <si>
    <t>७ pay</t>
  </si>
  <si>
    <t>8 pay</t>
  </si>
  <si>
    <t>14%            (12 महीने)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</si>
</sst>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&quot;₹&quot;\ #,##0.00"/>
    <numFmt numFmtId="165" formatCode="[$-4000439]0"/>
    <numFmt numFmtId="166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DVOT-Surekh"/>
    </font>
    <font>
      <sz val="11"/>
      <color rgb="FFFF0000"/>
      <name val="DVOT-Surekh"/>
    </font>
    <font>
      <sz val="8"/>
      <color theme="1"/>
      <name val="DVOT-Surekh"/>
    </font>
    <font>
      <sz val="8"/>
      <name val="Calibri"/>
      <family val="2"/>
      <scheme val="minor"/>
    </font>
    <font>
      <sz val="10"/>
      <color theme="1"/>
      <name val="DVOT-Surekh"/>
    </font>
    <font>
      <sz val="11"/>
      <color theme="0"/>
      <name val="DVOT-Surekh"/>
    </font>
    <font>
      <sz val="8"/>
      <color theme="0"/>
      <name val="DVOT-Surekh"/>
    </font>
    <font>
      <b/>
      <sz val="8"/>
      <color theme="1"/>
      <name val="DVOT-Surekh"/>
    </font>
    <font>
      <u/>
      <sz val="11"/>
      <color theme="1"/>
      <name val="DVOT-Surekh"/>
    </font>
    <font>
      <sz val="9"/>
      <color theme="1"/>
      <name val="DVOT-Surekh"/>
    </font>
    <font>
      <b/>
      <sz val="11"/>
      <color theme="1"/>
      <name val="DVOT-Surekh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Nirmala UI"/>
      <family val="2"/>
    </font>
    <font>
      <sz val="11"/>
      <name val="Nirmala UI"/>
      <family val="2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DVOT-Surekh"/>
    </font>
    <font>
      <sz val="9"/>
      <name val="DVOT-Surekh"/>
    </font>
  </fonts>
  <fills count="2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18" fillId="0" borderId="0" applyFont="0" applyFill="0" applyBorder="0" applyAlignment="0" applyProtection="0"/>
  </cellStyleXfs>
  <cellXfs count="290">
    <xf numFmtId="0" fontId="0" fillId="0" borderId="0" xfId="0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9" fontId="3" fillId="0" borderId="2" xfId="0" applyNumberFormat="1" applyFont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/>
    </xf>
    <xf numFmtId="14" fontId="3" fillId="0" borderId="2" xfId="0" applyNumberFormat="1" applyFont="1" applyBorder="1" applyAlignment="1">
      <alignment horizontal="right"/>
    </xf>
    <xf numFmtId="0" fontId="0" fillId="11" borderId="8" xfId="0" applyFill="1" applyBorder="1" applyAlignment="1">
      <alignment horizontal="left"/>
    </xf>
    <xf numFmtId="0" fontId="3" fillId="11" borderId="2" xfId="0" applyFont="1" applyFill="1" applyBorder="1" applyAlignment="1">
      <alignment horizontal="center"/>
    </xf>
    <xf numFmtId="17" fontId="3" fillId="12" borderId="1" xfId="0" applyNumberFormat="1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10" fontId="3" fillId="12" borderId="1" xfId="0" applyNumberFormat="1" applyFont="1" applyFill="1" applyBorder="1" applyAlignment="1">
      <alignment horizontal="center"/>
    </xf>
    <xf numFmtId="0" fontId="5" fillId="13" borderId="2" xfId="0" applyFont="1" applyFill="1" applyBorder="1" applyAlignment="1">
      <alignment horizontal="center" vertical="center" wrapText="1"/>
    </xf>
    <xf numFmtId="9" fontId="3" fillId="13" borderId="2" xfId="0" applyNumberFormat="1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5" fillId="14" borderId="2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/>
    </xf>
    <xf numFmtId="9" fontId="3" fillId="14" borderId="2" xfId="0" applyNumberFormat="1" applyFont="1" applyFill="1" applyBorder="1" applyAlignment="1">
      <alignment horizontal="center"/>
    </xf>
    <xf numFmtId="17" fontId="3" fillId="14" borderId="1" xfId="0" applyNumberFormat="1" applyFont="1" applyFill="1" applyBorder="1" applyAlignment="1">
      <alignment horizontal="center"/>
    </xf>
    <xf numFmtId="2" fontId="3" fillId="14" borderId="1" xfId="0" applyNumberFormat="1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17" fontId="3" fillId="5" borderId="16" xfId="0" applyNumberFormat="1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10" fontId="3" fillId="5" borderId="17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5" borderId="0" xfId="0" applyNumberFormat="1" applyFont="1" applyFill="1" applyAlignment="1">
      <alignment horizontal="center"/>
    </xf>
    <xf numFmtId="17" fontId="3" fillId="5" borderId="0" xfId="0" applyNumberFormat="1" applyFont="1" applyFill="1" applyAlignment="1">
      <alignment horizontal="center"/>
    </xf>
    <xf numFmtId="10" fontId="3" fillId="5" borderId="0" xfId="0" applyNumberFormat="1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0" fillId="12" borderId="3" xfId="0" applyFill="1" applyBorder="1" applyAlignment="1">
      <alignment horizontal="center"/>
    </xf>
    <xf numFmtId="0" fontId="2" fillId="12" borderId="1" xfId="2" applyFill="1" applyBorder="1" applyAlignment="1">
      <alignment horizontal="center" vertical="center"/>
    </xf>
    <xf numFmtId="17" fontId="3" fillId="12" borderId="25" xfId="0" applyNumberFormat="1" applyFont="1" applyFill="1" applyBorder="1" applyAlignment="1">
      <alignment horizontal="center"/>
    </xf>
    <xf numFmtId="0" fontId="3" fillId="12" borderId="25" xfId="0" applyFont="1" applyFill="1" applyBorder="1" applyAlignment="1">
      <alignment horizontal="center"/>
    </xf>
    <xf numFmtId="0" fontId="2" fillId="12" borderId="25" xfId="2" applyFill="1" applyBorder="1" applyAlignment="1">
      <alignment horizontal="center" vertical="center"/>
    </xf>
    <xf numFmtId="10" fontId="3" fillId="12" borderId="25" xfId="0" applyNumberFormat="1" applyFont="1" applyFill="1" applyBorder="1" applyAlignment="1">
      <alignment horizontal="center"/>
    </xf>
    <xf numFmtId="0" fontId="3" fillId="13" borderId="25" xfId="0" applyFont="1" applyFill="1" applyBorder="1" applyAlignment="1">
      <alignment horizontal="center"/>
    </xf>
    <xf numFmtId="17" fontId="3" fillId="14" borderId="25" xfId="0" applyNumberFormat="1" applyFont="1" applyFill="1" applyBorder="1" applyAlignment="1">
      <alignment horizontal="center"/>
    </xf>
    <xf numFmtId="2" fontId="3" fillId="14" borderId="25" xfId="0" applyNumberFormat="1" applyFont="1" applyFill="1" applyBorder="1" applyAlignment="1">
      <alignment horizontal="center"/>
    </xf>
    <xf numFmtId="0" fontId="3" fillId="14" borderId="25" xfId="0" applyFont="1" applyFill="1" applyBorder="1" applyAlignment="1">
      <alignment horizontal="center"/>
    </xf>
    <xf numFmtId="0" fontId="3" fillId="16" borderId="0" xfId="0" applyFont="1" applyFill="1" applyAlignment="1">
      <alignment horizontal="center"/>
    </xf>
    <xf numFmtId="0" fontId="3" fillId="16" borderId="0" xfId="0" applyFont="1" applyFill="1" applyAlignment="1">
      <alignment horizontal="left"/>
    </xf>
    <xf numFmtId="0" fontId="3" fillId="16" borderId="2" xfId="0" applyFont="1" applyFill="1" applyBorder="1" applyAlignment="1">
      <alignment horizontal="center"/>
    </xf>
    <xf numFmtId="17" fontId="3" fillId="5" borderId="0" xfId="0" applyNumberFormat="1" applyFont="1" applyFill="1" applyAlignment="1">
      <alignment vertical="center"/>
    </xf>
    <xf numFmtId="0" fontId="3" fillId="17" borderId="2" xfId="0" applyFont="1" applyFill="1" applyBorder="1" applyAlignment="1">
      <alignment horizontal="center"/>
    </xf>
    <xf numFmtId="0" fontId="3" fillId="17" borderId="0" xfId="0" applyFont="1" applyFill="1" applyAlignment="1">
      <alignment horizontal="center"/>
    </xf>
    <xf numFmtId="0" fontId="3" fillId="17" borderId="2" xfId="0" applyFont="1" applyFill="1" applyBorder="1" applyAlignment="1">
      <alignment horizontal="center" vertical="top"/>
    </xf>
    <xf numFmtId="0" fontId="3" fillId="17" borderId="0" xfId="0" applyFont="1" applyFill="1" applyAlignment="1">
      <alignment horizontal="left"/>
    </xf>
    <xf numFmtId="0" fontId="3" fillId="7" borderId="2" xfId="0" applyFont="1" applyFill="1" applyBorder="1" applyAlignment="1">
      <alignment horizontal="center"/>
    </xf>
    <xf numFmtId="0" fontId="3" fillId="7" borderId="0" xfId="0" applyFont="1" applyFill="1" applyAlignment="1">
      <alignment horizontal="left"/>
    </xf>
    <xf numFmtId="0" fontId="3" fillId="7" borderId="0" xfId="0" applyFont="1" applyFill="1" applyAlignment="1">
      <alignment horizontal="center"/>
    </xf>
    <xf numFmtId="0" fontId="3" fillId="7" borderId="0" xfId="0" applyFont="1" applyFill="1" applyAlignment="1">
      <alignment horizontal="right"/>
    </xf>
    <xf numFmtId="0" fontId="4" fillId="7" borderId="2" xfId="0" applyFont="1" applyFill="1" applyBorder="1" applyAlignment="1">
      <alignment horizontal="center"/>
    </xf>
    <xf numFmtId="17" fontId="3" fillId="12" borderId="3" xfId="0" applyNumberFormat="1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10" fontId="3" fillId="12" borderId="3" xfId="0" applyNumberFormat="1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17" fontId="3" fillId="14" borderId="3" xfId="0" applyNumberFormat="1" applyFont="1" applyFill="1" applyBorder="1" applyAlignment="1">
      <alignment horizontal="center"/>
    </xf>
    <xf numFmtId="2" fontId="3" fillId="14" borderId="3" xfId="0" applyNumberFormat="1" applyFont="1" applyFill="1" applyBorder="1" applyAlignment="1">
      <alignment horizontal="center"/>
    </xf>
    <xf numFmtId="0" fontId="0" fillId="9" borderId="6" xfId="0" applyFill="1" applyBorder="1" applyAlignment="1">
      <alignment horizontal="left"/>
    </xf>
    <xf numFmtId="0" fontId="3" fillId="9" borderId="23" xfId="0" applyFont="1" applyFill="1" applyBorder="1" applyAlignment="1">
      <alignment horizontal="center"/>
    </xf>
    <xf numFmtId="0" fontId="0" fillId="9" borderId="23" xfId="0" applyFill="1" applyBorder="1" applyAlignment="1">
      <alignment horizontal="left" vertical="top"/>
    </xf>
    <xf numFmtId="0" fontId="1" fillId="10" borderId="23" xfId="0" applyFont="1" applyFill="1" applyBorder="1" applyAlignment="1">
      <alignment horizontal="left"/>
    </xf>
    <xf numFmtId="0" fontId="8" fillId="10" borderId="23" xfId="0" applyFont="1" applyFill="1" applyBorder="1" applyAlignment="1">
      <alignment horizontal="center"/>
    </xf>
    <xf numFmtId="0" fontId="3" fillId="11" borderId="23" xfId="0" applyFont="1" applyFill="1" applyBorder="1" applyAlignment="1">
      <alignment horizontal="center"/>
    </xf>
    <xf numFmtId="0" fontId="7" fillId="11" borderId="23" xfId="0" applyFont="1" applyFill="1" applyBorder="1" applyAlignment="1">
      <alignment horizontal="center"/>
    </xf>
    <xf numFmtId="14" fontId="7" fillId="11" borderId="23" xfId="0" applyNumberFormat="1" applyFont="1" applyFill="1" applyBorder="1" applyAlignment="1">
      <alignment horizontal="center"/>
    </xf>
    <xf numFmtId="0" fontId="3" fillId="13" borderId="23" xfId="0" applyFont="1" applyFill="1" applyBorder="1" applyAlignment="1">
      <alignment horizontal="center"/>
    </xf>
    <xf numFmtId="0" fontId="0" fillId="13" borderId="23" xfId="0" applyFill="1" applyBorder="1" applyAlignment="1">
      <alignment horizontal="left"/>
    </xf>
    <xf numFmtId="0" fontId="3" fillId="14" borderId="23" xfId="0" applyFont="1" applyFill="1" applyBorder="1" applyAlignment="1">
      <alignment horizontal="center"/>
    </xf>
    <xf numFmtId="0" fontId="3" fillId="14" borderId="7" xfId="0" applyFont="1" applyFill="1" applyBorder="1" applyAlignment="1">
      <alignment horizontal="center"/>
    </xf>
    <xf numFmtId="0" fontId="0" fillId="9" borderId="18" xfId="0" applyFill="1" applyBorder="1" applyAlignment="1">
      <alignment horizontal="left"/>
    </xf>
    <xf numFmtId="0" fontId="3" fillId="9" borderId="0" xfId="0" applyFont="1" applyFill="1" applyAlignment="1">
      <alignment horizontal="center"/>
    </xf>
    <xf numFmtId="0" fontId="0" fillId="9" borderId="0" xfId="0" applyFill="1" applyAlignment="1">
      <alignment horizontal="center" vertical="top"/>
    </xf>
    <xf numFmtId="0" fontId="1" fillId="10" borderId="0" xfId="0" applyFont="1" applyFill="1" applyAlignment="1">
      <alignment horizontal="left"/>
    </xf>
    <xf numFmtId="0" fontId="8" fillId="10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  <xf numFmtId="0" fontId="7" fillId="11" borderId="0" xfId="0" applyFont="1" applyFill="1" applyAlignment="1">
      <alignment horizontal="right"/>
    </xf>
    <xf numFmtId="0" fontId="10" fillId="11" borderId="0" xfId="0" applyFont="1" applyFill="1"/>
    <xf numFmtId="0" fontId="3" fillId="14" borderId="0" xfId="0" applyFont="1" applyFill="1" applyAlignment="1">
      <alignment horizontal="center"/>
    </xf>
    <xf numFmtId="0" fontId="3" fillId="14" borderId="5" xfId="0" applyFont="1" applyFill="1" applyBorder="1" applyAlignment="1">
      <alignment horizontal="center"/>
    </xf>
    <xf numFmtId="0" fontId="8" fillId="10" borderId="0" xfId="0" applyFont="1" applyFill="1" applyAlignment="1">
      <alignment horizontal="left"/>
    </xf>
    <xf numFmtId="0" fontId="9" fillId="10" borderId="0" xfId="0" applyFont="1" applyFill="1" applyAlignment="1">
      <alignment horizontal="left"/>
    </xf>
    <xf numFmtId="0" fontId="3" fillId="2" borderId="18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24" xfId="0" applyFont="1" applyBorder="1" applyAlignment="1">
      <alignment horizontal="center" wrapText="1"/>
    </xf>
    <xf numFmtId="0" fontId="8" fillId="2" borderId="4" xfId="0" applyFont="1" applyFill="1" applyBorder="1" applyAlignment="1">
      <alignment horizontal="center"/>
    </xf>
    <xf numFmtId="0" fontId="3" fillId="16" borderId="0" xfId="0" applyFont="1" applyFill="1" applyAlignment="1">
      <alignment wrapText="1"/>
    </xf>
    <xf numFmtId="0" fontId="3" fillId="17" borderId="0" xfId="0" applyFont="1" applyFill="1" applyAlignment="1">
      <alignment wrapText="1"/>
    </xf>
    <xf numFmtId="0" fontId="3" fillId="7" borderId="26" xfId="0" applyFont="1" applyFill="1" applyBorder="1" applyAlignment="1">
      <alignment horizontal="center"/>
    </xf>
    <xf numFmtId="0" fontId="3" fillId="17" borderId="9" xfId="0" applyFont="1" applyFill="1" applyBorder="1" applyAlignment="1">
      <alignment horizontal="center"/>
    </xf>
    <xf numFmtId="0" fontId="3" fillId="17" borderId="9" xfId="0" applyFont="1" applyFill="1" applyBorder="1"/>
    <xf numFmtId="0" fontId="3" fillId="17" borderId="10" xfId="0" applyFont="1" applyFill="1" applyBorder="1" applyAlignment="1">
      <alignment horizontal="center"/>
    </xf>
    <xf numFmtId="0" fontId="3" fillId="17" borderId="12" xfId="0" applyFont="1" applyFill="1" applyBorder="1" applyAlignment="1">
      <alignment horizontal="center"/>
    </xf>
    <xf numFmtId="0" fontId="3" fillId="17" borderId="13" xfId="0" applyFont="1" applyFill="1" applyBorder="1" applyAlignment="1">
      <alignment horizontal="center"/>
    </xf>
    <xf numFmtId="0" fontId="3" fillId="17" borderId="14" xfId="0" applyFont="1" applyFill="1" applyBorder="1" applyAlignment="1">
      <alignment horizontal="center"/>
    </xf>
    <xf numFmtId="0" fontId="3" fillId="17" borderId="15" xfId="0" applyFont="1" applyFill="1" applyBorder="1" applyAlignment="1">
      <alignment horizontal="center"/>
    </xf>
    <xf numFmtId="0" fontId="12" fillId="17" borderId="8" xfId="0" applyFont="1" applyFill="1" applyBorder="1" applyAlignment="1">
      <alignment horizontal="left" wrapText="1"/>
    </xf>
    <xf numFmtId="0" fontId="12" fillId="17" borderId="8" xfId="0" applyFont="1" applyFill="1" applyBorder="1" applyAlignment="1">
      <alignment horizontal="center" vertical="center" wrapText="1"/>
    </xf>
    <xf numFmtId="0" fontId="12" fillId="17" borderId="27" xfId="0" applyFont="1" applyFill="1" applyBorder="1" applyAlignment="1">
      <alignment horizontal="center" wrapText="1"/>
    </xf>
    <xf numFmtId="0" fontId="3" fillId="17" borderId="12" xfId="0" applyFont="1" applyFill="1" applyBorder="1" applyAlignment="1">
      <alignment horizontal="center" wrapText="1"/>
    </xf>
    <xf numFmtId="1" fontId="3" fillId="17" borderId="9" xfId="0" quotePrefix="1" applyNumberFormat="1" applyFont="1" applyFill="1" applyBorder="1" applyAlignment="1">
      <alignment horizontal="center"/>
    </xf>
    <xf numFmtId="0" fontId="3" fillId="17" borderId="9" xfId="0" applyFont="1" applyFill="1" applyBorder="1" applyAlignment="1">
      <alignment horizontal="left"/>
    </xf>
    <xf numFmtId="0" fontId="3" fillId="17" borderId="9" xfId="0" quotePrefix="1" applyFont="1" applyFill="1" applyBorder="1" applyAlignment="1">
      <alignment horizontal="center"/>
    </xf>
    <xf numFmtId="0" fontId="3" fillId="17" borderId="12" xfId="0" applyFont="1" applyFill="1" applyBorder="1" applyAlignment="1">
      <alignment horizontal="left"/>
    </xf>
    <xf numFmtId="0" fontId="3" fillId="17" borderId="10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2" fontId="3" fillId="5" borderId="0" xfId="0" applyNumberFormat="1" applyFont="1" applyFill="1" applyAlignment="1">
      <alignment horizontal="left"/>
    </xf>
    <xf numFmtId="0" fontId="13" fillId="16" borderId="0" xfId="0" applyFont="1" applyFill="1" applyAlignment="1">
      <alignment horizontal="center"/>
    </xf>
    <xf numFmtId="0" fontId="13" fillId="17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0" fillId="18" borderId="28" xfId="0" applyFill="1" applyBorder="1" applyAlignment="1">
      <alignment horizontal="left" vertical="top" wrapText="1"/>
    </xf>
    <xf numFmtId="0" fontId="0" fillId="18" borderId="29" xfId="0" applyFill="1" applyBorder="1" applyAlignment="1">
      <alignment horizontal="left" vertical="top" wrapText="1"/>
    </xf>
    <xf numFmtId="0" fontId="1" fillId="20" borderId="3" xfId="0" applyFont="1" applyFill="1" applyBorder="1" applyAlignment="1">
      <alignment horizontal="center" vertical="center" wrapText="1"/>
    </xf>
    <xf numFmtId="14" fontId="1" fillId="20" borderId="3" xfId="0" applyNumberFormat="1" applyFont="1" applyFill="1" applyBorder="1" applyAlignment="1">
      <alignment horizontal="center" vertical="center" wrapText="1"/>
    </xf>
    <xf numFmtId="0" fontId="16" fillId="20" borderId="3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19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9" fontId="0" fillId="21" borderId="1" xfId="0" applyNumberFormat="1" applyFill="1" applyBorder="1" applyAlignment="1">
      <alignment horizontal="center" vertical="center" wrapText="1"/>
    </xf>
    <xf numFmtId="0" fontId="15" fillId="19" borderId="1" xfId="0" applyFont="1" applyFill="1" applyBorder="1" applyAlignment="1">
      <alignment horizontal="center" vertical="center" wrapText="1"/>
    </xf>
    <xf numFmtId="9" fontId="0" fillId="4" borderId="1" xfId="0" applyNumberFormat="1" applyFill="1" applyBorder="1" applyAlignment="1">
      <alignment horizontal="center" vertical="center" wrapText="1"/>
    </xf>
    <xf numFmtId="9" fontId="0" fillId="19" borderId="1" xfId="0" applyNumberFormat="1" applyFill="1" applyBorder="1" applyAlignment="1">
      <alignment horizontal="center" vertical="center" wrapText="1"/>
    </xf>
    <xf numFmtId="9" fontId="0" fillId="5" borderId="1" xfId="0" applyNumberFormat="1" applyFill="1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 vertical="center" wrapText="1"/>
    </xf>
    <xf numFmtId="0" fontId="0" fillId="18" borderId="33" xfId="0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164" fontId="2" fillId="12" borderId="1" xfId="2" applyNumberForma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top" wrapText="1"/>
    </xf>
    <xf numFmtId="0" fontId="19" fillId="3" borderId="0" xfId="0" applyFont="1" applyFill="1"/>
    <xf numFmtId="9" fontId="19" fillId="3" borderId="0" xfId="0" applyNumberFormat="1" applyFont="1" applyFill="1"/>
    <xf numFmtId="43" fontId="19" fillId="3" borderId="0" xfId="3" applyFont="1" applyFill="1"/>
    <xf numFmtId="0" fontId="19" fillId="3" borderId="1" xfId="0" applyFont="1" applyFill="1" applyBorder="1" applyAlignment="1">
      <alignment horizontal="center" vertical="center"/>
    </xf>
    <xf numFmtId="0" fontId="19" fillId="3" borderId="1" xfId="0" quotePrefix="1" applyFont="1" applyFill="1" applyBorder="1" applyAlignment="1">
      <alignment horizontal="center" vertical="center"/>
    </xf>
    <xf numFmtId="0" fontId="19" fillId="3" borderId="29" xfId="0" applyFont="1" applyFill="1" applyBorder="1" applyAlignment="1">
      <alignment horizontal="center" vertical="center"/>
    </xf>
    <xf numFmtId="166" fontId="19" fillId="3" borderId="29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1" fontId="19" fillId="3" borderId="1" xfId="0" applyNumberFormat="1" applyFont="1" applyFill="1" applyBorder="1" applyAlignment="1">
      <alignment horizontal="center" vertical="center"/>
    </xf>
    <xf numFmtId="0" fontId="19" fillId="23" borderId="29" xfId="0" applyFont="1" applyFill="1" applyBorder="1" applyAlignment="1">
      <alignment horizontal="center" vertical="center"/>
    </xf>
    <xf numFmtId="43" fontId="19" fillId="3" borderId="0" xfId="0" applyNumberFormat="1" applyFont="1" applyFill="1"/>
    <xf numFmtId="0" fontId="19" fillId="3" borderId="3" xfId="0" applyFont="1" applyFill="1" applyBorder="1" applyAlignment="1">
      <alignment horizontal="center" vertical="center"/>
    </xf>
    <xf numFmtId="0" fontId="19" fillId="3" borderId="3" xfId="0" quotePrefix="1" applyFont="1" applyFill="1" applyBorder="1" applyAlignment="1">
      <alignment horizontal="center" vertical="center"/>
    </xf>
    <xf numFmtId="2" fontId="19" fillId="3" borderId="3" xfId="0" applyNumberFormat="1" applyFont="1" applyFill="1" applyBorder="1" applyAlignment="1">
      <alignment horizontal="center" vertical="center"/>
    </xf>
    <xf numFmtId="1" fontId="19" fillId="3" borderId="3" xfId="0" applyNumberFormat="1" applyFont="1" applyFill="1" applyBorder="1" applyAlignment="1">
      <alignment horizontal="center" vertical="center"/>
    </xf>
    <xf numFmtId="166" fontId="24" fillId="3" borderId="44" xfId="3" applyNumberFormat="1" applyFont="1" applyFill="1" applyBorder="1" applyAlignment="1">
      <alignment vertical="center"/>
    </xf>
    <xf numFmtId="166" fontId="24" fillId="3" borderId="44" xfId="3" applyNumberFormat="1" applyFont="1" applyFill="1" applyBorder="1" applyAlignment="1">
      <alignment horizontal="center" vertical="center"/>
    </xf>
    <xf numFmtId="0" fontId="19" fillId="3" borderId="44" xfId="0" applyFont="1" applyFill="1" applyBorder="1"/>
    <xf numFmtId="9" fontId="19" fillId="3" borderId="0" xfId="0" applyNumberFormat="1" applyFont="1" applyFill="1" applyAlignment="1">
      <alignment horizontal="center"/>
    </xf>
    <xf numFmtId="0" fontId="26" fillId="4" borderId="41" xfId="0" applyFont="1" applyFill="1" applyBorder="1" applyAlignment="1">
      <alignment horizontal="center" vertical="center" wrapText="1"/>
    </xf>
    <xf numFmtId="0" fontId="22" fillId="4" borderId="43" xfId="0" applyFont="1" applyFill="1" applyBorder="1" applyAlignment="1">
      <alignment horizontal="center" vertical="center" wrapText="1"/>
    </xf>
    <xf numFmtId="9" fontId="26" fillId="4" borderId="42" xfId="0" applyNumberFormat="1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center" vertical="center" wrapText="1"/>
    </xf>
    <xf numFmtId="0" fontId="22" fillId="4" borderId="40" xfId="0" applyFont="1" applyFill="1" applyBorder="1" applyAlignment="1">
      <alignment vertical="center" wrapText="1"/>
    </xf>
    <xf numFmtId="0" fontId="3" fillId="16" borderId="2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vertical="center" wrapText="1"/>
    </xf>
    <xf numFmtId="0" fontId="19" fillId="3" borderId="2" xfId="0" applyFont="1" applyFill="1" applyBorder="1"/>
    <xf numFmtId="0" fontId="19" fillId="3" borderId="2" xfId="0" quotePrefix="1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166" fontId="19" fillId="3" borderId="2" xfId="0" applyNumberFormat="1" applyFont="1" applyFill="1" applyBorder="1"/>
    <xf numFmtId="0" fontId="24" fillId="24" borderId="0" xfId="0" applyFont="1" applyFill="1"/>
    <xf numFmtId="0" fontId="19" fillId="24" borderId="0" xfId="0" applyFont="1" applyFill="1"/>
    <xf numFmtId="0" fontId="19" fillId="18" borderId="28" xfId="0" applyFont="1" applyFill="1" applyBorder="1" applyAlignment="1">
      <alignment horizontal="left" vertical="top" wrapText="1"/>
    </xf>
    <xf numFmtId="0" fontId="20" fillId="18" borderId="34" xfId="0" applyFont="1" applyFill="1" applyBorder="1" applyAlignment="1">
      <alignment horizontal="center" vertical="center"/>
    </xf>
    <xf numFmtId="165" fontId="19" fillId="18" borderId="3" xfId="0" applyNumberFormat="1" applyFont="1" applyFill="1" applyBorder="1" applyAlignment="1">
      <alignment horizontal="center" vertical="center" wrapText="1"/>
    </xf>
    <xf numFmtId="0" fontId="19" fillId="18" borderId="37" xfId="0" applyFont="1" applyFill="1" applyBorder="1" applyAlignment="1">
      <alignment horizontal="left" vertical="center" wrapText="1"/>
    </xf>
    <xf numFmtId="0" fontId="19" fillId="18" borderId="1" xfId="0" applyFont="1" applyFill="1" applyBorder="1" applyAlignment="1">
      <alignment horizontal="center" vertical="center" wrapText="1"/>
    </xf>
    <xf numFmtId="0" fontId="20" fillId="18" borderId="39" xfId="0" applyFont="1" applyFill="1" applyBorder="1" applyAlignment="1">
      <alignment horizontal="center" vertical="center"/>
    </xf>
    <xf numFmtId="0" fontId="19" fillId="18" borderId="31" xfId="0" applyFont="1" applyFill="1" applyBorder="1" applyAlignment="1">
      <alignment horizontal="center" vertical="center" wrapText="1"/>
    </xf>
    <xf numFmtId="0" fontId="19" fillId="18" borderId="32" xfId="0" applyFont="1" applyFill="1" applyBorder="1" applyAlignment="1">
      <alignment horizontal="center" vertical="center" wrapText="1"/>
    </xf>
    <xf numFmtId="0" fontId="19" fillId="18" borderId="33" xfId="0" applyFont="1" applyFill="1" applyBorder="1" applyAlignment="1">
      <alignment horizontal="center" vertical="center" wrapText="1"/>
    </xf>
    <xf numFmtId="0" fontId="19" fillId="18" borderId="29" xfId="0" applyFont="1" applyFill="1" applyBorder="1" applyAlignment="1">
      <alignment horizontal="left" vertical="top" wrapText="1"/>
    </xf>
    <xf numFmtId="0" fontId="19" fillId="25" borderId="28" xfId="0" applyFont="1" applyFill="1" applyBorder="1" applyAlignment="1">
      <alignment horizontal="left" vertical="top" wrapText="1"/>
    </xf>
    <xf numFmtId="0" fontId="19" fillId="25" borderId="1" xfId="0" applyFont="1" applyFill="1" applyBorder="1" applyAlignment="1">
      <alignment horizontal="center" vertical="center" wrapText="1"/>
    </xf>
    <xf numFmtId="9" fontId="19" fillId="25" borderId="1" xfId="0" applyNumberFormat="1" applyFont="1" applyFill="1" applyBorder="1" applyAlignment="1">
      <alignment horizontal="center" vertical="center" wrapText="1"/>
    </xf>
    <xf numFmtId="0" fontId="19" fillId="19" borderId="28" xfId="0" applyFont="1" applyFill="1" applyBorder="1" applyAlignment="1">
      <alignment horizontal="left" vertical="top" wrapText="1"/>
    </xf>
    <xf numFmtId="0" fontId="19" fillId="19" borderId="1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166" fontId="19" fillId="18" borderId="38" xfId="3" applyNumberFormat="1" applyFont="1" applyFill="1" applyBorder="1" applyAlignment="1">
      <alignment horizontal="left" vertical="center" wrapText="1"/>
    </xf>
    <xf numFmtId="0" fontId="22" fillId="4" borderId="40" xfId="0" applyFont="1" applyFill="1" applyBorder="1" applyAlignment="1">
      <alignment horizontal="center" vertical="center" wrapText="1"/>
    </xf>
    <xf numFmtId="0" fontId="22" fillId="4" borderId="43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/>
    </xf>
    <xf numFmtId="0" fontId="3" fillId="16" borderId="0" xfId="0" applyFont="1" applyFill="1" applyAlignment="1">
      <alignment horizontal="center"/>
    </xf>
    <xf numFmtId="0" fontId="3" fillId="16" borderId="2" xfId="0" applyFont="1" applyFill="1" applyBorder="1" applyAlignment="1">
      <alignment horizontal="center"/>
    </xf>
    <xf numFmtId="166" fontId="3" fillId="17" borderId="19" xfId="0" applyNumberFormat="1" applyFont="1" applyFill="1" applyBorder="1" applyAlignment="1">
      <alignment horizontal="center"/>
    </xf>
    <xf numFmtId="166" fontId="3" fillId="17" borderId="20" xfId="0" applyNumberFormat="1" applyFont="1" applyFill="1" applyBorder="1" applyAlignment="1">
      <alignment horizontal="center"/>
    </xf>
    <xf numFmtId="166" fontId="3" fillId="17" borderId="2" xfId="0" applyNumberFormat="1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1" fontId="3" fillId="7" borderId="2" xfId="0" applyNumberFormat="1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/>
    </xf>
    <xf numFmtId="0" fontId="3" fillId="7" borderId="22" xfId="0" applyFont="1" applyFill="1" applyBorder="1" applyAlignment="1">
      <alignment horizontal="center"/>
    </xf>
    <xf numFmtId="0" fontId="3" fillId="7" borderId="20" xfId="0" applyFont="1" applyFill="1" applyBorder="1" applyAlignment="1">
      <alignment horizontal="center"/>
    </xf>
    <xf numFmtId="0" fontId="25" fillId="3" borderId="44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right"/>
    </xf>
    <xf numFmtId="9" fontId="3" fillId="17" borderId="19" xfId="0" applyNumberFormat="1" applyFont="1" applyFill="1" applyBorder="1" applyAlignment="1">
      <alignment horizontal="center"/>
    </xf>
    <xf numFmtId="9" fontId="3" fillId="17" borderId="22" xfId="0" applyNumberFormat="1" applyFont="1" applyFill="1" applyBorder="1" applyAlignment="1">
      <alignment horizontal="center"/>
    </xf>
    <xf numFmtId="9" fontId="3" fillId="17" borderId="20" xfId="0" applyNumberFormat="1" applyFont="1" applyFill="1" applyBorder="1" applyAlignment="1">
      <alignment horizontal="center"/>
    </xf>
    <xf numFmtId="9" fontId="3" fillId="17" borderId="2" xfId="0" applyNumberFormat="1" applyFont="1" applyFill="1" applyBorder="1" applyAlignment="1">
      <alignment horizontal="left"/>
    </xf>
    <xf numFmtId="9" fontId="3" fillId="17" borderId="2" xfId="0" applyNumberFormat="1" applyFont="1" applyFill="1" applyBorder="1" applyAlignment="1">
      <alignment horizontal="right"/>
    </xf>
    <xf numFmtId="166" fontId="3" fillId="17" borderId="2" xfId="3" applyNumberFormat="1" applyFont="1" applyFill="1" applyBorder="1" applyAlignment="1">
      <alignment horizontal="center"/>
    </xf>
    <xf numFmtId="0" fontId="3" fillId="17" borderId="19" xfId="0" applyFont="1" applyFill="1" applyBorder="1" applyAlignment="1">
      <alignment horizontal="right" wrapText="1"/>
    </xf>
    <xf numFmtId="0" fontId="3" fillId="17" borderId="22" xfId="0" applyFont="1" applyFill="1" applyBorder="1" applyAlignment="1">
      <alignment horizontal="right" wrapText="1"/>
    </xf>
    <xf numFmtId="0" fontId="3" fillId="17" borderId="20" xfId="0" applyFont="1" applyFill="1" applyBorder="1" applyAlignment="1">
      <alignment horizontal="right" wrapText="1"/>
    </xf>
    <xf numFmtId="17" fontId="3" fillId="16" borderId="2" xfId="0" applyNumberFormat="1" applyFont="1" applyFill="1" applyBorder="1" applyAlignment="1">
      <alignment horizontal="center" wrapText="1"/>
    </xf>
    <xf numFmtId="0" fontId="3" fillId="16" borderId="2" xfId="0" applyFont="1" applyFill="1" applyBorder="1" applyAlignment="1">
      <alignment horizontal="center" wrapText="1"/>
    </xf>
    <xf numFmtId="0" fontId="3" fillId="16" borderId="2" xfId="0" applyFont="1" applyFill="1" applyBorder="1" applyAlignment="1">
      <alignment horizontal="center" vertical="center"/>
    </xf>
    <xf numFmtId="17" fontId="3" fillId="7" borderId="0" xfId="0" applyNumberFormat="1" applyFont="1" applyFill="1" applyAlignment="1">
      <alignment horizontal="center" wrapText="1"/>
    </xf>
    <xf numFmtId="166" fontId="24" fillId="3" borderId="2" xfId="3" applyNumberFormat="1" applyFont="1" applyFill="1" applyBorder="1" applyAlignment="1">
      <alignment horizontal="center"/>
    </xf>
    <xf numFmtId="0" fontId="22" fillId="4" borderId="2" xfId="0" applyFont="1" applyFill="1" applyBorder="1" applyAlignment="1">
      <alignment horizontal="center" vertical="center" wrapText="1"/>
    </xf>
    <xf numFmtId="9" fontId="3" fillId="17" borderId="24" xfId="0" applyNumberFormat="1" applyFont="1" applyFill="1" applyBorder="1" applyAlignment="1">
      <alignment horizontal="center"/>
    </xf>
    <xf numFmtId="9" fontId="3" fillId="17" borderId="4" xfId="0" applyNumberFormat="1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166" fontId="19" fillId="3" borderId="0" xfId="3" applyNumberFormat="1" applyFont="1" applyFill="1" applyAlignment="1">
      <alignment horizontal="left"/>
    </xf>
    <xf numFmtId="0" fontId="3" fillId="7" borderId="2" xfId="0" applyFont="1" applyFill="1" applyBorder="1" applyAlignment="1">
      <alignment horizontal="right"/>
    </xf>
    <xf numFmtId="0" fontId="23" fillId="18" borderId="29" xfId="0" applyFont="1" applyFill="1" applyBorder="1" applyAlignment="1">
      <alignment horizontal="center" vertical="center" wrapText="1"/>
    </xf>
    <xf numFmtId="0" fontId="20" fillId="18" borderId="34" xfId="0" applyFont="1" applyFill="1" applyBorder="1" applyAlignment="1">
      <alignment horizontal="center" vertical="center"/>
    </xf>
    <xf numFmtId="0" fontId="20" fillId="18" borderId="35" xfId="0" applyFont="1" applyFill="1" applyBorder="1" applyAlignment="1">
      <alignment horizontal="center" vertical="center"/>
    </xf>
    <xf numFmtId="0" fontId="19" fillId="18" borderId="36" xfId="0" applyFont="1" applyFill="1" applyBorder="1" applyAlignment="1">
      <alignment horizontal="left" vertical="center" wrapText="1"/>
    </xf>
    <xf numFmtId="0" fontId="19" fillId="18" borderId="37" xfId="0" applyFont="1" applyFill="1" applyBorder="1" applyAlignment="1">
      <alignment horizontal="left" vertical="center" wrapText="1"/>
    </xf>
    <xf numFmtId="0" fontId="19" fillId="18" borderId="38" xfId="0" applyFont="1" applyFill="1" applyBorder="1" applyAlignment="1">
      <alignment horizontal="left" vertical="center" wrapText="1"/>
    </xf>
    <xf numFmtId="0" fontId="20" fillId="18" borderId="30" xfId="0" applyFont="1" applyFill="1" applyBorder="1" applyAlignment="1">
      <alignment horizontal="center" vertical="center"/>
    </xf>
    <xf numFmtId="0" fontId="20" fillId="18" borderId="31" xfId="0" applyFont="1" applyFill="1" applyBorder="1" applyAlignment="1">
      <alignment horizontal="center" vertical="center"/>
    </xf>
    <xf numFmtId="0" fontId="20" fillId="18" borderId="32" xfId="0" applyFont="1" applyFill="1" applyBorder="1" applyAlignment="1">
      <alignment horizontal="center" vertical="center"/>
    </xf>
    <xf numFmtId="0" fontId="19" fillId="18" borderId="30" xfId="0" applyFont="1" applyFill="1" applyBorder="1" applyAlignment="1">
      <alignment horizontal="center" vertical="center" wrapText="1"/>
    </xf>
    <xf numFmtId="0" fontId="19" fillId="18" borderId="31" xfId="0" applyFont="1" applyFill="1" applyBorder="1" applyAlignment="1">
      <alignment horizontal="center" vertical="center" wrapText="1"/>
    </xf>
    <xf numFmtId="0" fontId="19" fillId="18" borderId="32" xfId="0" applyFont="1" applyFill="1" applyBorder="1" applyAlignment="1">
      <alignment horizontal="center" vertical="center" wrapText="1"/>
    </xf>
    <xf numFmtId="0" fontId="19" fillId="18" borderId="31" xfId="0" applyFont="1" applyFill="1" applyBorder="1" applyAlignment="1">
      <alignment horizontal="left" vertical="center" wrapText="1"/>
    </xf>
    <xf numFmtId="0" fontId="19" fillId="18" borderId="32" xfId="0" applyFont="1" applyFill="1" applyBorder="1" applyAlignment="1">
      <alignment horizontal="left" vertical="center" wrapText="1"/>
    </xf>
    <xf numFmtId="0" fontId="20" fillId="18" borderId="39" xfId="0" applyFont="1" applyFill="1" applyBorder="1" applyAlignment="1">
      <alignment horizontal="center" vertical="center"/>
    </xf>
    <xf numFmtId="0" fontId="19" fillId="18" borderId="4" xfId="0" applyFont="1" applyFill="1" applyBorder="1" applyAlignment="1">
      <alignment horizontal="center" vertical="top" wrapText="1"/>
    </xf>
    <xf numFmtId="0" fontId="19" fillId="18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164" fontId="0" fillId="11" borderId="19" xfId="0" applyNumberFormat="1" applyFill="1" applyBorder="1" applyAlignment="1">
      <alignment horizontal="center" vertical="top"/>
    </xf>
    <xf numFmtId="164" fontId="0" fillId="11" borderId="20" xfId="0" applyNumberFormat="1" applyFill="1" applyBorder="1" applyAlignment="1">
      <alignment horizontal="center" vertical="top"/>
    </xf>
    <xf numFmtId="14" fontId="1" fillId="10" borderId="23" xfId="0" applyNumberFormat="1" applyFont="1" applyFill="1" applyBorder="1" applyAlignment="1">
      <alignment horizontal="left" vertical="top" wrapText="1"/>
    </xf>
    <xf numFmtId="14" fontId="1" fillId="10" borderId="0" xfId="0" applyNumberFormat="1" applyFont="1" applyFill="1" applyAlignment="1">
      <alignment horizontal="left" vertical="top"/>
    </xf>
    <xf numFmtId="14" fontId="0" fillId="9" borderId="0" xfId="0" applyNumberFormat="1" applyFill="1" applyAlignment="1">
      <alignment horizontal="left" vertical="top"/>
    </xf>
    <xf numFmtId="164" fontId="8" fillId="2" borderId="0" xfId="0" applyNumberFormat="1" applyFont="1" applyFill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7" fontId="3" fillId="5" borderId="21" xfId="0" applyNumberFormat="1" applyFont="1" applyFill="1" applyBorder="1" applyAlignment="1">
      <alignment horizontal="center"/>
    </xf>
    <xf numFmtId="0" fontId="3" fillId="16" borderId="0" xfId="0" applyFont="1" applyFill="1" applyAlignment="1">
      <alignment horizontal="center" vertical="center" wrapText="1"/>
    </xf>
    <xf numFmtId="0" fontId="3" fillId="17" borderId="2" xfId="0" applyFont="1" applyFill="1" applyBorder="1" applyAlignment="1">
      <alignment horizontal="center"/>
    </xf>
    <xf numFmtId="17" fontId="3" fillId="5" borderId="0" xfId="0" applyNumberFormat="1" applyFont="1" applyFill="1" applyAlignment="1">
      <alignment horizontal="center" vertical="center"/>
    </xf>
    <xf numFmtId="0" fontId="3" fillId="17" borderId="19" xfId="0" applyFont="1" applyFill="1" applyBorder="1" applyAlignment="1">
      <alignment horizontal="center"/>
    </xf>
    <xf numFmtId="0" fontId="3" fillId="17" borderId="20" xfId="0" applyFont="1" applyFill="1" applyBorder="1" applyAlignment="1">
      <alignment horizontal="center"/>
    </xf>
    <xf numFmtId="0" fontId="3" fillId="17" borderId="0" xfId="0" applyFont="1" applyFill="1" applyAlignment="1">
      <alignment horizontal="center" wrapText="1"/>
    </xf>
    <xf numFmtId="0" fontId="3" fillId="17" borderId="2" xfId="0" applyFont="1" applyFill="1" applyBorder="1" applyAlignment="1">
      <alignment horizontal="right"/>
    </xf>
    <xf numFmtId="17" fontId="3" fillId="17" borderId="0" xfId="0" applyNumberFormat="1" applyFont="1" applyFill="1" applyAlignment="1">
      <alignment horizontal="center" wrapText="1"/>
    </xf>
    <xf numFmtId="0" fontId="3" fillId="12" borderId="18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3" fillId="17" borderId="12" xfId="0" applyFont="1" applyFill="1" applyBorder="1" applyAlignment="1">
      <alignment horizontal="center"/>
    </xf>
    <xf numFmtId="0" fontId="3" fillId="17" borderId="9" xfId="0" applyFont="1" applyFill="1" applyBorder="1" applyAlignment="1">
      <alignment horizontal="center"/>
    </xf>
    <xf numFmtId="0" fontId="3" fillId="15" borderId="18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17" borderId="11" xfId="0" applyFont="1" applyFill="1" applyBorder="1" applyAlignment="1">
      <alignment horizontal="center" wrapText="1"/>
    </xf>
    <xf numFmtId="0" fontId="3" fillId="17" borderId="8" xfId="0" applyFont="1" applyFill="1" applyBorder="1" applyAlignment="1">
      <alignment horizontal="center" wrapText="1"/>
    </xf>
    <xf numFmtId="0" fontId="3" fillId="17" borderId="27" xfId="0" applyFont="1" applyFill="1" applyBorder="1" applyAlignment="1">
      <alignment horizontal="center" wrapText="1"/>
    </xf>
    <xf numFmtId="0" fontId="11" fillId="17" borderId="11" xfId="0" applyFont="1" applyFill="1" applyBorder="1" applyAlignment="1">
      <alignment horizontal="center"/>
    </xf>
    <xf numFmtId="0" fontId="11" fillId="17" borderId="8" xfId="0" applyFont="1" applyFill="1" applyBorder="1" applyAlignment="1">
      <alignment horizontal="center"/>
    </xf>
    <xf numFmtId="0" fontId="3" fillId="17" borderId="10" xfId="0" applyFont="1" applyFill="1" applyBorder="1" applyAlignment="1">
      <alignment horizontal="center"/>
    </xf>
    <xf numFmtId="0" fontId="11" fillId="17" borderId="12" xfId="0" applyFont="1" applyFill="1" applyBorder="1" applyAlignment="1">
      <alignment horizontal="center"/>
    </xf>
    <xf numFmtId="0" fontId="11" fillId="17" borderId="9" xfId="0" applyFont="1" applyFill="1" applyBorder="1" applyAlignment="1">
      <alignment horizontal="center"/>
    </xf>
    <xf numFmtId="9" fontId="3" fillId="17" borderId="12" xfId="0" applyNumberFormat="1" applyFont="1" applyFill="1" applyBorder="1" applyAlignment="1">
      <alignment horizontal="center"/>
    </xf>
    <xf numFmtId="9" fontId="3" fillId="17" borderId="9" xfId="0" applyNumberFormat="1" applyFont="1" applyFill="1" applyBorder="1" applyAlignment="1">
      <alignment horizontal="center"/>
    </xf>
    <xf numFmtId="0" fontId="17" fillId="22" borderId="29" xfId="0" applyFont="1" applyFill="1" applyBorder="1" applyAlignment="1">
      <alignment horizontal="left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14" fillId="5" borderId="32" xfId="0" applyFont="1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top" wrapText="1"/>
    </xf>
    <xf numFmtId="0" fontId="0" fillId="18" borderId="1" xfId="0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3" fontId="3" fillId="17" borderId="2" xfId="3" applyFont="1" applyFill="1" applyBorder="1" applyAlignment="1">
      <alignment horizontal="center"/>
    </xf>
    <xf numFmtId="43" fontId="3" fillId="17" borderId="19" xfId="3" applyFont="1" applyFill="1" applyBorder="1" applyAlignment="1">
      <alignment horizontal="center"/>
    </xf>
    <xf numFmtId="43" fontId="3" fillId="17" borderId="20" xfId="3" applyFont="1" applyFill="1" applyBorder="1" applyAlignment="1">
      <alignment horizontal="center"/>
    </xf>
    <xf numFmtId="2" fontId="19" fillId="3" borderId="29" xfId="0" applyNumberFormat="1" applyFont="1" applyFill="1" applyBorder="1" applyAlignment="1">
      <alignment horizontal="center" vertical="center"/>
    </xf>
    <xf numFmtId="1" fontId="19" fillId="3" borderId="29" xfId="0" applyNumberFormat="1" applyFont="1" applyFill="1" applyBorder="1" applyAlignment="1">
      <alignment horizontal="center" vertical="center"/>
    </xf>
    <xf numFmtId="1" fontId="23" fillId="3" borderId="29" xfId="0" applyNumberFormat="1" applyFont="1" applyFill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2" xfId="1" xr:uid="{00000000-0005-0000-0000-000002000000}"/>
    <cellStyle name="Normal 2 2" xfId="2" xr:uid="{742FCB65-D808-4359-9473-62C7FBECA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sdp2\pii450_c\RMP\Gazitedbill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URE,Retired"/>
      <sheetName val="Try.Month exp."/>
      <sheetName val="Frount,back"/>
      <sheetName val="DEY   VAJATI"/>
      <sheetName val="Comslip"/>
      <sheetName val="COMPUTER SLIP"/>
      <sheetName val="A ROLL"/>
      <sheetName val="FORM STR 56"/>
      <sheetName val="P L I"/>
      <sheetName val="Payslip"/>
      <sheetName val="J"/>
      <sheetName val="K"/>
    </sheetNames>
    <sheetDataSet>
      <sheetData sheetId="0" refreshError="1"/>
      <sheetData sheetId="1" refreshError="1"/>
      <sheetData sheetId="2" refreshError="1"/>
      <sheetData sheetId="3">
        <row r="2">
          <cell r="B2" t="str">
            <v>ekgs 1$2003 ns; ekgs 2$2003</v>
          </cell>
        </row>
      </sheetData>
      <sheetData sheetId="4">
        <row r="2">
          <cell r="H2" t="str">
            <v>To be filled in the treasury</v>
          </cell>
        </row>
      </sheetData>
      <sheetData sheetId="5">
        <row r="2">
          <cell r="C2" t="str">
            <v>[Computer Slip]</v>
          </cell>
        </row>
      </sheetData>
      <sheetData sheetId="6">
        <row r="2">
          <cell r="J2" t="str">
            <v>osru iV dz-</v>
          </cell>
        </row>
      </sheetData>
      <sheetData sheetId="7">
        <row r="2">
          <cell r="D2" t="str">
            <v xml:space="preserve">  FORM NO.S.T.R.56</v>
          </cell>
        </row>
      </sheetData>
      <sheetData sheetId="8">
        <row r="2">
          <cell r="D2" t="str">
            <v>Schedule of deduction of account of the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92EB8-9528-495E-9925-CA0BC443F84A}">
  <dimension ref="A1:H31"/>
  <sheetViews>
    <sheetView view="pageBreakPreview" topLeftCell="A29" zoomScale="130" zoomScaleNormal="130" zoomScaleSheetLayoutView="130" workbookViewId="0">
      <selection activeCell="H12" sqref="H12"/>
    </sheetView>
  </sheetViews>
  <sheetFormatPr defaultRowHeight="15" x14ac:dyDescent="0.25"/>
  <cols>
    <col min="1" max="1" width="5.42578125" style="136" customWidth="1"/>
    <col min="2" max="2" width="26.7109375" style="136" customWidth="1"/>
    <col min="3" max="3" width="29" style="136" customWidth="1"/>
    <col min="4" max="4" width="8.85546875" style="136" customWidth="1"/>
    <col min="5" max="5" width="14.28515625" style="136" customWidth="1"/>
    <col min="6" max="6" width="8" style="136" customWidth="1"/>
    <col min="7" max="7" width="15.42578125" style="136" customWidth="1"/>
    <col min="8" max="8" width="29.85546875" style="136" customWidth="1"/>
    <col min="9" max="16384" width="9.140625" style="136"/>
  </cols>
  <sheetData>
    <row r="1" spans="1:8" x14ac:dyDescent="0.25">
      <c r="A1" s="240" t="s">
        <v>144</v>
      </c>
      <c r="B1" s="240"/>
      <c r="C1" s="240"/>
      <c r="D1" s="240"/>
      <c r="E1" s="240"/>
      <c r="F1" s="240"/>
      <c r="G1" s="240"/>
      <c r="H1" s="240"/>
    </row>
    <row r="2" spans="1:8" ht="43.5" customHeight="1" x14ac:dyDescent="0.25">
      <c r="A2" s="170" t="s">
        <v>89</v>
      </c>
      <c r="B2" s="170" t="s">
        <v>91</v>
      </c>
      <c r="C2" s="180" t="s">
        <v>130</v>
      </c>
      <c r="D2" s="180" t="s">
        <v>112</v>
      </c>
      <c r="E2" s="183" t="s">
        <v>40</v>
      </c>
      <c r="F2" s="183" t="s">
        <v>112</v>
      </c>
      <c r="G2" s="185" t="s">
        <v>41</v>
      </c>
      <c r="H2" s="185" t="s">
        <v>112</v>
      </c>
    </row>
    <row r="3" spans="1:8" ht="23.25" customHeight="1" x14ac:dyDescent="0.25">
      <c r="A3" s="226" t="s">
        <v>145</v>
      </c>
      <c r="B3" s="226"/>
      <c r="C3" s="226"/>
      <c r="D3" s="226"/>
      <c r="E3" s="226"/>
      <c r="F3" s="226"/>
      <c r="G3" s="226"/>
      <c r="H3" s="227"/>
    </row>
    <row r="4" spans="1:8" ht="19.5" customHeight="1" x14ac:dyDescent="0.25">
      <c r="A4" s="172">
        <v>1</v>
      </c>
      <c r="B4" s="228" t="s">
        <v>147</v>
      </c>
      <c r="C4" s="229"/>
      <c r="D4" s="229"/>
      <c r="E4" s="229"/>
      <c r="F4" s="229"/>
      <c r="G4" s="229"/>
      <c r="H4" s="230"/>
    </row>
    <row r="5" spans="1:8" ht="19.5" customHeight="1" x14ac:dyDescent="0.25">
      <c r="A5" s="172">
        <v>2</v>
      </c>
      <c r="B5" s="228" t="s">
        <v>162</v>
      </c>
      <c r="C5" s="229"/>
      <c r="D5" s="229"/>
      <c r="E5" s="229"/>
      <c r="F5" s="229"/>
      <c r="G5" s="229"/>
      <c r="H5" s="230"/>
    </row>
    <row r="6" spans="1:8" ht="19.5" customHeight="1" x14ac:dyDescent="0.25">
      <c r="A6" s="172">
        <v>3</v>
      </c>
      <c r="B6" s="228" t="s">
        <v>146</v>
      </c>
      <c r="C6" s="229"/>
      <c r="D6" s="229"/>
      <c r="E6" s="229"/>
      <c r="F6" s="229"/>
      <c r="G6" s="229"/>
      <c r="H6" s="230"/>
    </row>
    <row r="7" spans="1:8" ht="32.25" customHeight="1" x14ac:dyDescent="0.25">
      <c r="A7" s="172">
        <v>4</v>
      </c>
      <c r="B7" s="228" t="s">
        <v>148</v>
      </c>
      <c r="C7" s="229"/>
      <c r="D7" s="229"/>
      <c r="E7" s="229"/>
      <c r="F7" s="229"/>
      <c r="G7" s="229"/>
      <c r="H7" s="230"/>
    </row>
    <row r="8" spans="1:8" x14ac:dyDescent="0.25">
      <c r="A8" s="174"/>
      <c r="B8" s="174" t="s">
        <v>94</v>
      </c>
      <c r="C8" s="181" t="s">
        <v>92</v>
      </c>
      <c r="D8" s="181">
        <f>+'ops nps rnps comparison'!E47</f>
        <v>142444</v>
      </c>
      <c r="E8" s="184"/>
      <c r="F8" s="184"/>
      <c r="G8" s="186" t="s">
        <v>92</v>
      </c>
      <c r="H8" s="187">
        <f>+'ops nps rnps comparison'!E47</f>
        <v>142444</v>
      </c>
    </row>
    <row r="9" spans="1:8" ht="33" customHeight="1" x14ac:dyDescent="0.25">
      <c r="A9" s="172">
        <v>5</v>
      </c>
      <c r="B9" s="228" t="s">
        <v>149</v>
      </c>
      <c r="C9" s="229"/>
      <c r="D9" s="229"/>
      <c r="E9" s="229"/>
      <c r="F9" s="229"/>
      <c r="G9" s="229"/>
      <c r="H9" s="230"/>
    </row>
    <row r="10" spans="1:8" ht="54.75" customHeight="1" x14ac:dyDescent="0.25">
      <c r="A10" s="174"/>
      <c r="B10" s="174" t="s">
        <v>94</v>
      </c>
      <c r="C10" s="181" t="s">
        <v>92</v>
      </c>
      <c r="D10" s="181">
        <f>+D8</f>
        <v>142444</v>
      </c>
      <c r="E10" s="184">
        <v>0</v>
      </c>
      <c r="F10" s="184">
        <v>0</v>
      </c>
      <c r="G10" s="186" t="s">
        <v>92</v>
      </c>
      <c r="H10" s="187" t="s">
        <v>190</v>
      </c>
    </row>
    <row r="11" spans="1:8" ht="19.5" customHeight="1" x14ac:dyDescent="0.25">
      <c r="A11" s="172">
        <v>6</v>
      </c>
      <c r="B11" s="228" t="s">
        <v>150</v>
      </c>
      <c r="C11" s="229"/>
      <c r="D11" s="229"/>
      <c r="E11" s="229"/>
      <c r="F11" s="229"/>
      <c r="G11" s="229"/>
      <c r="H11" s="230"/>
    </row>
    <row r="12" spans="1:8" ht="60" x14ac:dyDescent="0.25">
      <c r="A12" s="241"/>
      <c r="B12" s="241" t="s">
        <v>93</v>
      </c>
      <c r="C12" s="181" t="s">
        <v>115</v>
      </c>
      <c r="D12" s="181">
        <f>+D10</f>
        <v>142444</v>
      </c>
      <c r="E12" s="184" t="s">
        <v>92</v>
      </c>
      <c r="F12" s="184">
        <f>+'ops nps rnps comparison'!E47</f>
        <v>142444</v>
      </c>
      <c r="G12" s="187" t="s">
        <v>151</v>
      </c>
      <c r="H12" s="187">
        <f>+'ops nps rnps comparison'!E51</f>
        <v>85466</v>
      </c>
    </row>
    <row r="13" spans="1:8" ht="60" x14ac:dyDescent="0.25">
      <c r="A13" s="241"/>
      <c r="B13" s="241"/>
      <c r="C13" s="182" t="s">
        <v>114</v>
      </c>
      <c r="D13" s="181">
        <f>+'ops nps rnps comparison'!E51</f>
        <v>85466</v>
      </c>
      <c r="E13" s="184" t="s">
        <v>124</v>
      </c>
      <c r="F13" s="184">
        <f>+'ops nps rnps comparison'!E51</f>
        <v>85466</v>
      </c>
      <c r="G13" s="187" t="s">
        <v>125</v>
      </c>
      <c r="H13" s="187">
        <f>+H12</f>
        <v>85466</v>
      </c>
    </row>
    <row r="14" spans="1:8" x14ac:dyDescent="0.25">
      <c r="A14" s="172">
        <v>7</v>
      </c>
      <c r="B14" s="228" t="s">
        <v>152</v>
      </c>
      <c r="C14" s="229"/>
      <c r="D14" s="229"/>
      <c r="E14" s="229"/>
      <c r="F14" s="229"/>
      <c r="G14" s="229"/>
      <c r="H14" s="230"/>
    </row>
    <row r="15" spans="1:8" ht="29.25" customHeight="1" x14ac:dyDescent="0.25">
      <c r="A15" s="172"/>
      <c r="B15" s="228" t="s">
        <v>163</v>
      </c>
      <c r="C15" s="229"/>
      <c r="D15" s="229"/>
      <c r="E15" s="229"/>
      <c r="F15" s="229"/>
      <c r="G15" s="229"/>
      <c r="H15" s="230"/>
    </row>
    <row r="16" spans="1:8" ht="33" customHeight="1" x14ac:dyDescent="0.25">
      <c r="A16" s="172"/>
      <c r="B16" s="239" t="s">
        <v>155</v>
      </c>
      <c r="C16" s="226"/>
      <c r="D16" s="226"/>
      <c r="E16" s="226" t="s">
        <v>191</v>
      </c>
      <c r="F16" s="226"/>
      <c r="G16" s="173" t="s">
        <v>153</v>
      </c>
      <c r="H16" s="188">
        <f>+'ops nps rnps comparison'!K43</f>
        <v>20627762</v>
      </c>
    </row>
    <row r="17" spans="1:8" ht="46.5" customHeight="1" x14ac:dyDescent="0.25">
      <c r="A17" s="172"/>
      <c r="B17" s="228" t="s">
        <v>154</v>
      </c>
      <c r="C17" s="229"/>
      <c r="D17" s="229"/>
      <c r="E17" s="229"/>
      <c r="F17" s="229"/>
      <c r="G17" s="229"/>
      <c r="H17" s="230"/>
    </row>
    <row r="18" spans="1:8" ht="96.75" customHeight="1" x14ac:dyDescent="0.25">
      <c r="A18" s="172"/>
      <c r="B18" s="239" t="s">
        <v>155</v>
      </c>
      <c r="C18" s="226"/>
      <c r="D18" s="226"/>
      <c r="E18" s="226" t="s">
        <v>191</v>
      </c>
      <c r="F18" s="226"/>
      <c r="G18" s="237" t="str">
        <f>+'ops nps rnps comparison'!K42&amp;"/-  जे कर्मचारी आधी सेवानिवृत्त झाले व त्यांना NPS योजनेत पेन्शन म्हणुन जी रक्कम मिळाली ती सर्व परत करावी लागेल. म्हणजेच NPS 100%  रक्कम व मिळालेली पेन्शनची सर्व रक्कम. परंतु जे आज नंतर सेवानिवृत्त होईल त्यांना लागु नाही. "</f>
        <v xml:space="preserve">13751841/-  जे कर्मचारी आधी सेवानिवृत्त झाले व त्यांना NPS योजनेत पेन्शन म्हणुन जी रक्कम मिळाली ती सर्व परत करावी लागेल. म्हणजेच NPS 100%  रक्कम व मिळालेली पेन्शनची सर्व रक्कम. परंतु जे आज नंतर सेवानिवृत्त होईल त्यांना लागु नाही. </v>
      </c>
      <c r="H18" s="238"/>
    </row>
    <row r="19" spans="1:8" ht="33.75" customHeight="1" x14ac:dyDescent="0.25">
      <c r="A19" s="172">
        <v>8</v>
      </c>
      <c r="B19" s="228" t="s">
        <v>156</v>
      </c>
      <c r="C19" s="229"/>
      <c r="D19" s="229"/>
      <c r="E19" s="229"/>
      <c r="F19" s="229"/>
      <c r="G19" s="229"/>
      <c r="H19" s="230"/>
    </row>
    <row r="20" spans="1:8" ht="60.75" customHeight="1" x14ac:dyDescent="0.25">
      <c r="A20" s="172"/>
      <c r="B20" s="239" t="s">
        <v>155</v>
      </c>
      <c r="C20" s="226"/>
      <c r="D20" s="226"/>
      <c r="E20" s="226"/>
      <c r="F20" s="173"/>
      <c r="G20" s="237" t="s">
        <v>157</v>
      </c>
      <c r="H20" s="238"/>
    </row>
    <row r="21" spans="1:8" ht="16.5" x14ac:dyDescent="0.25">
      <c r="A21" s="172">
        <v>9</v>
      </c>
      <c r="B21" s="175" t="s">
        <v>158</v>
      </c>
      <c r="C21" s="171"/>
      <c r="D21" s="171"/>
      <c r="E21" s="171"/>
      <c r="F21" s="173"/>
      <c r="G21" s="176"/>
      <c r="H21" s="177"/>
    </row>
    <row r="22" spans="1:8" ht="27" customHeight="1" x14ac:dyDescent="0.25">
      <c r="A22" s="172"/>
      <c r="B22" s="231" t="s">
        <v>159</v>
      </c>
      <c r="C22" s="232"/>
      <c r="D22" s="232"/>
      <c r="E22" s="232"/>
      <c r="F22" s="232"/>
      <c r="G22" s="232"/>
      <c r="H22" s="233"/>
    </row>
    <row r="23" spans="1:8" ht="16.5" x14ac:dyDescent="0.25">
      <c r="A23" s="172"/>
      <c r="B23" s="231" t="s">
        <v>160</v>
      </c>
      <c r="C23" s="232"/>
      <c r="D23" s="232"/>
      <c r="E23" s="232"/>
      <c r="F23" s="232"/>
      <c r="G23" s="232"/>
      <c r="H23" s="233"/>
    </row>
    <row r="24" spans="1:8" x14ac:dyDescent="0.25">
      <c r="A24" s="172"/>
      <c r="B24" s="174" t="s">
        <v>164</v>
      </c>
      <c r="C24" s="234" t="s">
        <v>92</v>
      </c>
      <c r="D24" s="235"/>
      <c r="E24" s="235"/>
      <c r="F24" s="235"/>
      <c r="G24" s="235"/>
      <c r="H24" s="236"/>
    </row>
    <row r="25" spans="1:8" ht="16.5" x14ac:dyDescent="0.25">
      <c r="A25" s="172"/>
      <c r="B25" s="231" t="s">
        <v>161</v>
      </c>
      <c r="C25" s="232"/>
      <c r="D25" s="232"/>
      <c r="E25" s="232"/>
      <c r="F25" s="232"/>
      <c r="G25" s="232"/>
      <c r="H25" s="233"/>
    </row>
    <row r="26" spans="1:8" x14ac:dyDescent="0.25">
      <c r="A26" s="172"/>
      <c r="B26" s="174" t="s">
        <v>90</v>
      </c>
      <c r="C26" s="234" t="s">
        <v>92</v>
      </c>
      <c r="D26" s="235"/>
      <c r="E26" s="235"/>
      <c r="F26" s="235"/>
      <c r="G26" s="235"/>
      <c r="H26" s="236"/>
    </row>
    <row r="27" spans="1:8" ht="31.5" customHeight="1" x14ac:dyDescent="0.25">
      <c r="A27" s="172"/>
      <c r="B27" s="174" t="s">
        <v>106</v>
      </c>
      <c r="C27" s="234" t="s">
        <v>107</v>
      </c>
      <c r="D27" s="235"/>
      <c r="E27" s="235"/>
      <c r="F27" s="235"/>
      <c r="G27" s="237" t="s">
        <v>165</v>
      </c>
      <c r="H27" s="238"/>
    </row>
    <row r="28" spans="1:8" x14ac:dyDescent="0.25">
      <c r="A28" s="172"/>
      <c r="B28" s="174" t="s">
        <v>141</v>
      </c>
      <c r="C28" s="174" t="s">
        <v>97</v>
      </c>
      <c r="D28" s="174"/>
      <c r="E28" s="174" t="s">
        <v>97</v>
      </c>
      <c r="F28" s="174"/>
      <c r="G28" s="174" t="s">
        <v>97</v>
      </c>
      <c r="H28" s="177"/>
    </row>
    <row r="29" spans="1:8" ht="44.25" customHeight="1" x14ac:dyDescent="0.25">
      <c r="A29" s="172"/>
      <c r="B29" s="174" t="s">
        <v>142</v>
      </c>
      <c r="C29" s="174" t="s">
        <v>97</v>
      </c>
      <c r="D29" s="174"/>
      <c r="E29" s="174" t="s">
        <v>97</v>
      </c>
      <c r="F29" s="174"/>
      <c r="G29" s="174" t="s">
        <v>97</v>
      </c>
      <c r="H29" s="177"/>
    </row>
    <row r="30" spans="1:8" ht="45" x14ac:dyDescent="0.25">
      <c r="A30" s="174"/>
      <c r="B30" s="178" t="s">
        <v>143</v>
      </c>
      <c r="C30" s="174" t="s">
        <v>97</v>
      </c>
      <c r="D30" s="174"/>
      <c r="E30" s="174" t="s">
        <v>97</v>
      </c>
      <c r="F30" s="174"/>
      <c r="G30" s="174" t="s">
        <v>97</v>
      </c>
      <c r="H30" s="174"/>
    </row>
    <row r="31" spans="1:8" ht="62.25" customHeight="1" x14ac:dyDescent="0.25">
      <c r="A31" s="179"/>
      <c r="B31" s="225" t="s">
        <v>131</v>
      </c>
      <c r="C31" s="225"/>
      <c r="D31" s="225"/>
      <c r="E31" s="225"/>
      <c r="F31" s="225"/>
      <c r="G31" s="225"/>
      <c r="H31" s="225"/>
    </row>
  </sheetData>
  <mergeCells count="29">
    <mergeCell ref="G20:H20"/>
    <mergeCell ref="B22:H22"/>
    <mergeCell ref="B23:H23"/>
    <mergeCell ref="A1:H1"/>
    <mergeCell ref="A12:A13"/>
    <mergeCell ref="B12:B13"/>
    <mergeCell ref="B14:H14"/>
    <mergeCell ref="B15:H15"/>
    <mergeCell ref="B16:D16"/>
    <mergeCell ref="E16:F16"/>
    <mergeCell ref="B18:D18"/>
    <mergeCell ref="E18:F18"/>
    <mergeCell ref="G18:H18"/>
    <mergeCell ref="B31:H31"/>
    <mergeCell ref="A3:H3"/>
    <mergeCell ref="B4:H4"/>
    <mergeCell ref="B11:H11"/>
    <mergeCell ref="B5:H5"/>
    <mergeCell ref="B6:H6"/>
    <mergeCell ref="B7:H7"/>
    <mergeCell ref="B9:H9"/>
    <mergeCell ref="B17:H17"/>
    <mergeCell ref="B25:H25"/>
    <mergeCell ref="C26:H26"/>
    <mergeCell ref="C27:F27"/>
    <mergeCell ref="G27:H27"/>
    <mergeCell ref="C24:H24"/>
    <mergeCell ref="B19:H19"/>
    <mergeCell ref="B20:E20"/>
  </mergeCells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87CB-BB66-4CCB-B6A0-FC9C4695E4DE}">
  <sheetPr codeName="Sheet1"/>
  <dimension ref="A1:V100"/>
  <sheetViews>
    <sheetView view="pageBreakPreview" zoomScale="130" zoomScaleNormal="175" zoomScaleSheetLayoutView="130" workbookViewId="0">
      <pane ySplit="2" topLeftCell="A89" activePane="bottomLeft" state="frozen"/>
      <selection pane="bottomLeft" activeCell="G85" sqref="G85"/>
    </sheetView>
  </sheetViews>
  <sheetFormatPr defaultRowHeight="18" x14ac:dyDescent="0.4"/>
  <cols>
    <col min="1" max="1" width="14.85546875" style="1" customWidth="1"/>
    <col min="2" max="2" width="9.140625" style="1" customWidth="1"/>
    <col min="3" max="3" width="10.7109375" style="1" customWidth="1"/>
    <col min="4" max="4" width="11.7109375" style="1" customWidth="1"/>
    <col min="5" max="5" width="10.28515625" style="1" customWidth="1"/>
    <col min="6" max="6" width="11.42578125" style="1" customWidth="1"/>
    <col min="7" max="7" width="9.7109375" style="1" customWidth="1"/>
    <col min="8" max="8" width="11" style="1" customWidth="1"/>
    <col min="9" max="9" width="15.140625" style="1" customWidth="1"/>
    <col min="10" max="10" width="12.28515625" style="1" customWidth="1"/>
    <col min="11" max="11" width="12.5703125" style="1" customWidth="1"/>
    <col min="12" max="12" width="11.85546875" style="1" customWidth="1"/>
    <col min="13" max="13" width="14.5703125" style="1" customWidth="1"/>
    <col min="14" max="14" width="13.140625" style="8" customWidth="1"/>
    <col min="15" max="15" width="11.7109375" style="8" customWidth="1"/>
    <col min="16" max="16" width="8.85546875" style="1" customWidth="1"/>
    <col min="17" max="17" width="9" style="1" bestFit="1" customWidth="1"/>
    <col min="18" max="18" width="9.5703125" style="1" bestFit="1" customWidth="1"/>
    <col min="19" max="19" width="10.7109375" style="1" bestFit="1" customWidth="1"/>
    <col min="20" max="20" width="13" style="1" customWidth="1"/>
    <col min="21" max="21" width="9.140625" style="1"/>
    <col min="22" max="22" width="12.42578125" style="1" bestFit="1" customWidth="1"/>
    <col min="23" max="16384" width="9.140625" style="1"/>
  </cols>
  <sheetData>
    <row r="1" spans="1:21" ht="3" customHeight="1" x14ac:dyDescent="0.4"/>
    <row r="2" spans="1:21" s="4" customFormat="1" ht="59.25" customHeight="1" x14ac:dyDescent="0.25">
      <c r="A2" s="6" t="s">
        <v>0</v>
      </c>
      <c r="B2" s="7" t="s">
        <v>34</v>
      </c>
      <c r="C2" s="7" t="s">
        <v>12</v>
      </c>
      <c r="D2" s="7" t="s">
        <v>3</v>
      </c>
      <c r="E2" s="7" t="s">
        <v>1</v>
      </c>
      <c r="F2" s="7" t="s">
        <v>2</v>
      </c>
      <c r="G2" s="7" t="s">
        <v>14</v>
      </c>
      <c r="H2" s="7" t="s">
        <v>13</v>
      </c>
      <c r="I2" s="7" t="s">
        <v>4</v>
      </c>
      <c r="J2" s="7" t="s">
        <v>15</v>
      </c>
      <c r="K2" s="7" t="s">
        <v>11</v>
      </c>
      <c r="L2" s="7" t="s">
        <v>20</v>
      </c>
      <c r="M2" s="7" t="s">
        <v>6</v>
      </c>
      <c r="N2" s="15" t="s">
        <v>5</v>
      </c>
      <c r="O2" s="15" t="s">
        <v>7</v>
      </c>
      <c r="P2" s="19" t="s">
        <v>9</v>
      </c>
      <c r="Q2" s="19" t="s">
        <v>8</v>
      </c>
      <c r="R2" s="19" t="s">
        <v>10</v>
      </c>
      <c r="S2" s="19" t="s">
        <v>16</v>
      </c>
      <c r="T2" s="19" t="s">
        <v>33</v>
      </c>
      <c r="U2" s="242"/>
    </row>
    <row r="3" spans="1:21" ht="18.75" customHeight="1" x14ac:dyDescent="0.4">
      <c r="A3" s="10" t="s">
        <v>32</v>
      </c>
      <c r="B3" s="11"/>
      <c r="C3" s="243">
        <v>41800</v>
      </c>
      <c r="D3" s="244"/>
      <c r="E3" s="2"/>
      <c r="F3" s="9"/>
      <c r="G3" s="3">
        <v>0.14000000000000001</v>
      </c>
      <c r="H3" s="3">
        <v>0.1</v>
      </c>
      <c r="I3" s="2"/>
      <c r="J3" s="3"/>
      <c r="K3" s="3"/>
      <c r="L3" s="3"/>
      <c r="M3" s="3"/>
      <c r="N3" s="16">
        <v>0.06</v>
      </c>
      <c r="O3" s="17"/>
      <c r="P3" s="20"/>
      <c r="Q3" s="21">
        <v>0.04</v>
      </c>
      <c r="R3" s="20"/>
      <c r="S3" s="20"/>
      <c r="T3" s="20"/>
      <c r="U3" s="242"/>
    </row>
    <row r="4" spans="1:21" x14ac:dyDescent="0.4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7">
        <v>14</v>
      </c>
      <c r="O4" s="17">
        <v>15</v>
      </c>
      <c r="P4" s="20">
        <v>16</v>
      </c>
      <c r="Q4" s="20">
        <v>17</v>
      </c>
      <c r="R4" s="20">
        <v>18</v>
      </c>
      <c r="S4" s="20">
        <v>19</v>
      </c>
      <c r="T4" s="20">
        <v>20</v>
      </c>
      <c r="U4" s="242"/>
    </row>
    <row r="5" spans="1:21" x14ac:dyDescent="0.4">
      <c r="A5" s="64" t="s">
        <v>24</v>
      </c>
      <c r="B5" s="65"/>
      <c r="C5" s="66" t="s">
        <v>86</v>
      </c>
      <c r="D5" s="65"/>
      <c r="E5" s="65"/>
      <c r="F5" s="67" t="s">
        <v>25</v>
      </c>
      <c r="G5" s="68"/>
      <c r="H5" s="245">
        <v>45450</v>
      </c>
      <c r="I5" s="245"/>
      <c r="J5" s="69"/>
      <c r="K5" s="70" t="s">
        <v>29</v>
      </c>
      <c r="L5" s="71">
        <f ca="1">TODAY()</f>
        <v>46229</v>
      </c>
      <c r="M5" s="69"/>
      <c r="N5" s="72"/>
      <c r="O5" s="73"/>
      <c r="P5" s="74"/>
      <c r="Q5" s="74"/>
      <c r="R5" s="74"/>
      <c r="S5" s="74"/>
      <c r="T5" s="75"/>
      <c r="U5" s="242"/>
    </row>
    <row r="6" spans="1:21" x14ac:dyDescent="0.4">
      <c r="A6" s="76" t="s">
        <v>22</v>
      </c>
      <c r="B6" s="77"/>
      <c r="C6" s="78" t="s">
        <v>23</v>
      </c>
      <c r="D6" s="77"/>
      <c r="E6" s="77"/>
      <c r="F6" s="79" t="s">
        <v>27</v>
      </c>
      <c r="G6" s="80"/>
      <c r="H6" s="246">
        <f>EOMONTH(C7-1,12*58)</f>
        <v>57496</v>
      </c>
      <c r="I6" s="246"/>
      <c r="J6" s="81"/>
      <c r="K6" s="82" t="s">
        <v>30</v>
      </c>
      <c r="L6" s="83" t="str">
        <f ca="1">+DATEDIF(H5,L5,"Y")&amp;" Years, "&amp;DATEDIF(H5,L5,"Ym")&amp;" Months, "&amp;DATEDIF(H5,L5,"md")&amp;" Days "</f>
        <v xml:space="preserve">2 Years, 1 Months, 19 Days </v>
      </c>
      <c r="M6" s="81"/>
      <c r="N6" s="33"/>
      <c r="O6" s="33"/>
      <c r="P6" s="84"/>
      <c r="Q6" s="84"/>
      <c r="R6" s="84"/>
      <c r="S6" s="84"/>
      <c r="T6" s="85"/>
      <c r="U6" s="242"/>
    </row>
    <row r="7" spans="1:21" x14ac:dyDescent="0.4">
      <c r="A7" s="76" t="s">
        <v>26</v>
      </c>
      <c r="B7" s="77"/>
      <c r="C7" s="247">
        <v>36312</v>
      </c>
      <c r="D7" s="247"/>
      <c r="E7" s="77"/>
      <c r="F7" s="86" t="s">
        <v>28</v>
      </c>
      <c r="G7" s="80"/>
      <c r="H7" s="87" t="str">
        <f>+DATEDIF(H5,H6,"Y")&amp;" Years, "&amp;DATEDIF(H5,H6,"Ym")&amp;" Months, "&amp;DATEDIF(H5,H6,"md")&amp;" Days "</f>
        <v xml:space="preserve">32 Years, 11 Months, 24 Days </v>
      </c>
      <c r="I7" s="80"/>
      <c r="J7" s="81"/>
      <c r="K7" s="81"/>
      <c r="L7" s="81"/>
      <c r="M7" s="81"/>
      <c r="N7" s="33"/>
      <c r="O7" s="33"/>
      <c r="P7" s="84"/>
      <c r="Q7" s="84"/>
      <c r="R7" s="84"/>
      <c r="S7" s="84"/>
      <c r="T7" s="85"/>
      <c r="U7" s="242"/>
    </row>
    <row r="8" spans="1:21" x14ac:dyDescent="0.4">
      <c r="A8" s="88" t="s">
        <v>31</v>
      </c>
      <c r="B8" s="89"/>
      <c r="C8" s="89"/>
      <c r="D8" s="89"/>
      <c r="E8" s="89"/>
      <c r="F8" s="89"/>
      <c r="G8" s="89"/>
      <c r="H8" s="89"/>
      <c r="I8" s="89"/>
      <c r="J8" s="89"/>
      <c r="K8" s="248">
        <v>1580000</v>
      </c>
      <c r="L8" s="248"/>
      <c r="M8" s="89"/>
      <c r="N8" s="89"/>
      <c r="O8" s="89"/>
      <c r="P8" s="89"/>
      <c r="Q8" s="89"/>
      <c r="R8" s="89"/>
      <c r="S8" s="89"/>
      <c r="T8" s="89"/>
      <c r="U8" s="242"/>
    </row>
    <row r="9" spans="1:21" x14ac:dyDescent="0.4">
      <c r="A9" s="90"/>
      <c r="B9" s="29"/>
      <c r="C9" s="29"/>
      <c r="D9" s="249"/>
      <c r="E9" s="249"/>
      <c r="F9" s="29"/>
      <c r="G9" s="91">
        <f>ROUND(K8*64%,0)</f>
        <v>1011200</v>
      </c>
      <c r="H9" s="91">
        <f>ROUND(K8*36%,0)</f>
        <v>568800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42"/>
    </row>
    <row r="10" spans="1:21" x14ac:dyDescent="0.4">
      <c r="A10" s="58">
        <v>45658</v>
      </c>
      <c r="B10" s="59">
        <v>1</v>
      </c>
      <c r="C10" s="36">
        <f>+C3</f>
        <v>41800</v>
      </c>
      <c r="D10" s="60">
        <v>0.56000000000000005</v>
      </c>
      <c r="E10" s="59">
        <f>ROUND(C10*D10,0)</f>
        <v>23408</v>
      </c>
      <c r="F10" s="59">
        <f>+C10+E10</f>
        <v>65208</v>
      </c>
      <c r="G10" s="59">
        <f>ROUND(F10*$G$3,0)</f>
        <v>9129</v>
      </c>
      <c r="H10" s="59">
        <f>ROUND(F10*$H$3,0)</f>
        <v>6521</v>
      </c>
      <c r="I10" s="59">
        <f>+G10+H10</f>
        <v>15650</v>
      </c>
      <c r="J10" s="59">
        <f>+G10*12+G9</f>
        <v>1120748</v>
      </c>
      <c r="K10" s="59">
        <f>+H10*12+H9</f>
        <v>647052</v>
      </c>
      <c r="L10" s="59">
        <f>+J10+K10</f>
        <v>1767800</v>
      </c>
      <c r="M10" s="59">
        <f>+L10</f>
        <v>1767800</v>
      </c>
      <c r="N10" s="61">
        <f>ROUND(M10*$N$3,0)</f>
        <v>106068</v>
      </c>
      <c r="O10" s="61">
        <f>+M10+N10</f>
        <v>1873868</v>
      </c>
      <c r="P10" s="62">
        <f>+A10</f>
        <v>45658</v>
      </c>
      <c r="Q10" s="63">
        <v>40</v>
      </c>
      <c r="R10" s="25">
        <f>+M10/Q10</f>
        <v>44195</v>
      </c>
      <c r="S10" s="63">
        <f>+R10</f>
        <v>44195</v>
      </c>
      <c r="T10" s="25">
        <f>ROUND(Q10*S10,0)</f>
        <v>1767800</v>
      </c>
      <c r="U10" s="242"/>
    </row>
    <row r="11" spans="1:21" s="5" customFormat="1" x14ac:dyDescent="0.4">
      <c r="A11" s="12">
        <f>+IF($H$6&lt;=A10,"",DATE(YEAR(A10)+1,MONTH(A10),1))</f>
        <v>46023</v>
      </c>
      <c r="B11" s="13">
        <f>IF(OR(A11=0,A11=""),0,(B10+1))</f>
        <v>2</v>
      </c>
      <c r="C11" s="36">
        <f>+IF($H$6&lt;A10,"",IF(CEILING(C10*3%,100)-ROUND(C10*3%,0)&lt;=50,CEILING(C10*3%,100),CEILING(C10*3%,100)-100)+C10)</f>
        <v>43100</v>
      </c>
      <c r="D11" s="14">
        <f>IF(OR(A11=0, A11=""), 0, (D10+6%))</f>
        <v>0.62000000000000011</v>
      </c>
      <c r="E11" s="13">
        <f>IF(OR(A11=0,A11=""),0,ROUND(C11*D11,0))</f>
        <v>26722</v>
      </c>
      <c r="F11" s="13">
        <f>IF(OR(A11=0,A11=""),0,(C11+E11))</f>
        <v>69822</v>
      </c>
      <c r="G11" s="13">
        <f>ROUND(F11*$G$3,0)</f>
        <v>9775</v>
      </c>
      <c r="H11" s="13">
        <f t="shared" ref="H11" si="0">ROUND(F11*$H$3,0)</f>
        <v>6982</v>
      </c>
      <c r="I11" s="13">
        <f>+G11+H11</f>
        <v>16757</v>
      </c>
      <c r="J11" s="13">
        <f>+G11*12</f>
        <v>117300</v>
      </c>
      <c r="K11" s="13">
        <f>+H11*12</f>
        <v>83784</v>
      </c>
      <c r="L11" s="13">
        <f>+J11+K11</f>
        <v>201084</v>
      </c>
      <c r="M11" s="13">
        <f>IF(OR(A11=0,A11=""),0,(L11+M10))</f>
        <v>1968884</v>
      </c>
      <c r="N11" s="18">
        <f>ROUND(M11*$N$3,0)</f>
        <v>118133</v>
      </c>
      <c r="O11" s="18">
        <f>+M11+N11</f>
        <v>2087017</v>
      </c>
      <c r="P11" s="22">
        <f t="shared" ref="P11:P42" si="1">+A11</f>
        <v>46023</v>
      </c>
      <c r="Q11" s="23">
        <f>IF(OR(A11=0,A11=""),0,(Q10*$Q$3+Q10))</f>
        <v>41.6</v>
      </c>
      <c r="R11" s="23">
        <f>IF(OR(A11=0,A11=""),0,(L11/Q11))</f>
        <v>4833.75</v>
      </c>
      <c r="S11" s="23">
        <f t="shared" ref="S11:S15" si="2">IF(OR(A11=0,A11=""),0,(S10+R11))</f>
        <v>49028.75</v>
      </c>
      <c r="T11" s="24">
        <f t="shared" ref="T11:T45" si="3">ROUND(Q11*S11,0)</f>
        <v>2039596</v>
      </c>
      <c r="U11" s="242"/>
    </row>
    <row r="12" spans="1:21" x14ac:dyDescent="0.4">
      <c r="A12" s="12">
        <f t="shared" ref="A12:A45" si="4">+IF($H$6&lt;=A11,"",DATE(YEAR(A11)+1,MONTH(A11),1))</f>
        <v>46388</v>
      </c>
      <c r="B12" s="13">
        <f t="shared" ref="B12:B45" si="5">IF(OR(A12=0,A12=""),0,(B11+1))</f>
        <v>3</v>
      </c>
      <c r="C12" s="36">
        <f>+IF($H$6&lt;A11,"",IF(CEILING(C11*3%,100)-ROUND(C11*3%,0)&lt;=50,CEILING(C11*3%,100),CEILING(C11*3%,100)-100)+C11)</f>
        <v>44400</v>
      </c>
      <c r="D12" s="14">
        <f t="shared" ref="D12:D45" si="6">IF(OR(A12=0, A12=""), 0, (D11+6%))</f>
        <v>0.68000000000000016</v>
      </c>
      <c r="E12" s="13">
        <f t="shared" ref="E12:E45" si="7">IF(OR(A12=0,A12=""),0,ROUND(C12*D12,0))</f>
        <v>30192</v>
      </c>
      <c r="F12" s="13">
        <f t="shared" ref="F12:F45" si="8">IF(OR(A12=0,A12=""),0,(C12+E12))</f>
        <v>74592</v>
      </c>
      <c r="G12" s="13">
        <f>ROUND(F12*$G$3,0)</f>
        <v>10443</v>
      </c>
      <c r="H12" s="13">
        <f>ROUND(F12*$H$3,0)</f>
        <v>7459</v>
      </c>
      <c r="I12" s="13">
        <f>+G12+H12</f>
        <v>17902</v>
      </c>
      <c r="J12" s="13">
        <f t="shared" ref="J12:K12" si="9">+G12*12</f>
        <v>125316</v>
      </c>
      <c r="K12" s="13">
        <f t="shared" si="9"/>
        <v>89508</v>
      </c>
      <c r="L12" s="13">
        <f t="shared" ref="L12" si="10">+J12+K12</f>
        <v>214824</v>
      </c>
      <c r="M12" s="13">
        <f t="shared" ref="M12:M45" si="11">IF(OR(A12=0,A12=""),0,(L12+M11))</f>
        <v>2183708</v>
      </c>
      <c r="N12" s="18">
        <f>ROUND(M12*$N$3,0)</f>
        <v>131022</v>
      </c>
      <c r="O12" s="18">
        <f t="shared" ref="O12" si="12">+M12+N12</f>
        <v>2314730</v>
      </c>
      <c r="P12" s="22">
        <f t="shared" si="1"/>
        <v>46388</v>
      </c>
      <c r="Q12" s="23">
        <f t="shared" ref="Q12:Q45" si="13">IF(OR(A12=0,A12=""),0,(Q11*$Q$3+Q11))</f>
        <v>43.264000000000003</v>
      </c>
      <c r="R12" s="23">
        <f t="shared" ref="R12:R45" si="14">IF(OR(A12=0,A12=""),0,(L12/Q12))</f>
        <v>4965.4215976331361</v>
      </c>
      <c r="S12" s="23">
        <f t="shared" si="2"/>
        <v>53994.171597633132</v>
      </c>
      <c r="T12" s="24">
        <f t="shared" si="3"/>
        <v>2336004</v>
      </c>
      <c r="U12" s="242"/>
    </row>
    <row r="13" spans="1:21" s="5" customFormat="1" x14ac:dyDescent="0.4">
      <c r="A13" s="12">
        <f t="shared" si="4"/>
        <v>46753</v>
      </c>
      <c r="B13" s="13">
        <f t="shared" si="5"/>
        <v>4</v>
      </c>
      <c r="C13" s="36">
        <f>+IF($H$6&lt;A12,"",IF(CEILING(C12*3%,100)-ROUND(C12*3%,0)&lt;=50,CEILING(C12*3%,100),CEILING(C12*3%,100)-100)+C12)</f>
        <v>45700</v>
      </c>
      <c r="D13" s="14">
        <f t="shared" si="6"/>
        <v>0.74000000000000021</v>
      </c>
      <c r="E13" s="13">
        <f t="shared" si="7"/>
        <v>33818</v>
      </c>
      <c r="F13" s="13">
        <f t="shared" si="8"/>
        <v>79518</v>
      </c>
      <c r="G13" s="13">
        <f t="shared" ref="G13:G45" si="15">ROUND(F13*$G$3,0)</f>
        <v>11133</v>
      </c>
      <c r="H13" s="13">
        <f t="shared" ref="H13:H45" si="16">ROUND(F13*$H$3,0)</f>
        <v>7952</v>
      </c>
      <c r="I13" s="13">
        <f t="shared" ref="I13:I45" si="17">+G13+H13</f>
        <v>19085</v>
      </c>
      <c r="J13" s="13">
        <f t="shared" ref="J13:J21" si="18">+G13*12</f>
        <v>133596</v>
      </c>
      <c r="K13" s="13">
        <f t="shared" ref="K13:K21" si="19">+H13*12</f>
        <v>95424</v>
      </c>
      <c r="L13" s="13">
        <f t="shared" ref="L13:L21" si="20">+J13+K13</f>
        <v>229020</v>
      </c>
      <c r="M13" s="13">
        <f t="shared" si="11"/>
        <v>2412728</v>
      </c>
      <c r="N13" s="18">
        <f t="shared" ref="N13:N45" si="21">ROUND(M13*$N$3,0)</f>
        <v>144764</v>
      </c>
      <c r="O13" s="18">
        <f t="shared" ref="O13:O21" si="22">+M13+N13</f>
        <v>2557492</v>
      </c>
      <c r="P13" s="22">
        <f t="shared" si="1"/>
        <v>46753</v>
      </c>
      <c r="Q13" s="23">
        <f t="shared" si="13"/>
        <v>44.99456</v>
      </c>
      <c r="R13" s="23">
        <f t="shared" si="14"/>
        <v>5089.9486515703229</v>
      </c>
      <c r="S13" s="23">
        <f t="shared" si="2"/>
        <v>59084.120249203457</v>
      </c>
      <c r="T13" s="24">
        <f t="shared" si="3"/>
        <v>2658464</v>
      </c>
      <c r="U13" s="242"/>
    </row>
    <row r="14" spans="1:21" x14ac:dyDescent="0.4">
      <c r="A14" s="12">
        <f>+IF($H$6&lt;=A13,"",DATE(YEAR(A13)+1,MONTH(A13),1))</f>
        <v>47119</v>
      </c>
      <c r="B14" s="13">
        <f t="shared" si="5"/>
        <v>5</v>
      </c>
      <c r="C14" s="36">
        <f t="shared" ref="C14:C24" si="23">+IF($H$6&lt;A13,"",IF(CEILING(C13*3%,100)-ROUND(C13*3%,0)&lt;=50,CEILING(C13*3%,100),CEILING(C13*3%,100)-100)+C13)</f>
        <v>47100</v>
      </c>
      <c r="D14" s="14">
        <f t="shared" si="6"/>
        <v>0.80000000000000027</v>
      </c>
      <c r="E14" s="13">
        <f t="shared" si="7"/>
        <v>37680</v>
      </c>
      <c r="F14" s="13">
        <f t="shared" si="8"/>
        <v>84780</v>
      </c>
      <c r="G14" s="13">
        <f t="shared" si="15"/>
        <v>11869</v>
      </c>
      <c r="H14" s="13">
        <f t="shared" si="16"/>
        <v>8478</v>
      </c>
      <c r="I14" s="13">
        <f t="shared" si="17"/>
        <v>20347</v>
      </c>
      <c r="J14" s="13">
        <f t="shared" si="18"/>
        <v>142428</v>
      </c>
      <c r="K14" s="13">
        <f t="shared" si="19"/>
        <v>101736</v>
      </c>
      <c r="L14" s="13">
        <f t="shared" si="20"/>
        <v>244164</v>
      </c>
      <c r="M14" s="13">
        <f t="shared" si="11"/>
        <v>2656892</v>
      </c>
      <c r="N14" s="18">
        <f t="shared" si="21"/>
        <v>159414</v>
      </c>
      <c r="O14" s="18">
        <f t="shared" si="22"/>
        <v>2816306</v>
      </c>
      <c r="P14" s="22">
        <f t="shared" si="1"/>
        <v>47119</v>
      </c>
      <c r="Q14" s="23">
        <f t="shared" si="13"/>
        <v>46.794342399999998</v>
      </c>
      <c r="R14" s="23">
        <f t="shared" si="14"/>
        <v>5217.8102624645499</v>
      </c>
      <c r="S14" s="23">
        <f t="shared" si="2"/>
        <v>64301.930511668004</v>
      </c>
      <c r="T14" s="24">
        <f t="shared" si="3"/>
        <v>3008967</v>
      </c>
      <c r="U14" s="242"/>
    </row>
    <row r="15" spans="1:21" s="5" customFormat="1" x14ac:dyDescent="0.4">
      <c r="A15" s="12">
        <f>+IF($H$6&lt;=A14,"",DATE(YEAR(A14)+1,MONTH(A14),1))</f>
        <v>47484</v>
      </c>
      <c r="B15" s="13">
        <f t="shared" si="5"/>
        <v>6</v>
      </c>
      <c r="C15" s="36">
        <f t="shared" si="23"/>
        <v>48500</v>
      </c>
      <c r="D15" s="14">
        <f t="shared" si="6"/>
        <v>0.86000000000000032</v>
      </c>
      <c r="E15" s="13">
        <f t="shared" si="7"/>
        <v>41710</v>
      </c>
      <c r="F15" s="13">
        <f t="shared" si="8"/>
        <v>90210</v>
      </c>
      <c r="G15" s="13">
        <f t="shared" si="15"/>
        <v>12629</v>
      </c>
      <c r="H15" s="13">
        <f t="shared" si="16"/>
        <v>9021</v>
      </c>
      <c r="I15" s="13">
        <f t="shared" si="17"/>
        <v>21650</v>
      </c>
      <c r="J15" s="13">
        <f t="shared" si="18"/>
        <v>151548</v>
      </c>
      <c r="K15" s="13">
        <f t="shared" si="19"/>
        <v>108252</v>
      </c>
      <c r="L15" s="13">
        <f t="shared" si="20"/>
        <v>259800</v>
      </c>
      <c r="M15" s="13">
        <f t="shared" si="11"/>
        <v>2916692</v>
      </c>
      <c r="N15" s="18">
        <f t="shared" si="21"/>
        <v>175002</v>
      </c>
      <c r="O15" s="18">
        <f t="shared" si="22"/>
        <v>3091694</v>
      </c>
      <c r="P15" s="22">
        <f t="shared" si="1"/>
        <v>47484</v>
      </c>
      <c r="Q15" s="23">
        <f t="shared" si="13"/>
        <v>48.666116095999996</v>
      </c>
      <c r="R15" s="23">
        <f t="shared" si="14"/>
        <v>5338.4165584019902</v>
      </c>
      <c r="S15" s="23">
        <f t="shared" si="2"/>
        <v>69640.347070069998</v>
      </c>
      <c r="T15" s="24">
        <f t="shared" si="3"/>
        <v>3389125</v>
      </c>
      <c r="U15" s="242"/>
    </row>
    <row r="16" spans="1:21" x14ac:dyDescent="0.4">
      <c r="A16" s="12">
        <f t="shared" si="4"/>
        <v>47849</v>
      </c>
      <c r="B16" s="13">
        <f t="shared" si="5"/>
        <v>7</v>
      </c>
      <c r="C16" s="36">
        <f t="shared" si="23"/>
        <v>50000</v>
      </c>
      <c r="D16" s="14">
        <f t="shared" si="6"/>
        <v>0.92000000000000037</v>
      </c>
      <c r="E16" s="13">
        <f t="shared" si="7"/>
        <v>46000</v>
      </c>
      <c r="F16" s="13">
        <f t="shared" si="8"/>
        <v>96000</v>
      </c>
      <c r="G16" s="13">
        <f t="shared" si="15"/>
        <v>13440</v>
      </c>
      <c r="H16" s="13">
        <f t="shared" si="16"/>
        <v>9600</v>
      </c>
      <c r="I16" s="13">
        <f t="shared" si="17"/>
        <v>23040</v>
      </c>
      <c r="J16" s="13">
        <f t="shared" si="18"/>
        <v>161280</v>
      </c>
      <c r="K16" s="13">
        <f t="shared" si="19"/>
        <v>115200</v>
      </c>
      <c r="L16" s="13">
        <f t="shared" si="20"/>
        <v>276480</v>
      </c>
      <c r="M16" s="13">
        <f t="shared" si="11"/>
        <v>3193172</v>
      </c>
      <c r="N16" s="18">
        <f t="shared" si="21"/>
        <v>191590</v>
      </c>
      <c r="O16" s="18">
        <f t="shared" si="22"/>
        <v>3384762</v>
      </c>
      <c r="P16" s="22">
        <f t="shared" si="1"/>
        <v>47849</v>
      </c>
      <c r="Q16" s="23">
        <f t="shared" si="13"/>
        <v>50.612760739839999</v>
      </c>
      <c r="R16" s="23">
        <f t="shared" si="14"/>
        <v>5462.6540018467686</v>
      </c>
      <c r="S16" s="23">
        <f>IF(OR(A16=0,A16=""),0,(S15+R16))</f>
        <v>75103.001071916762</v>
      </c>
      <c r="T16" s="24">
        <f t="shared" si="3"/>
        <v>3801170</v>
      </c>
      <c r="U16" s="242"/>
    </row>
    <row r="17" spans="1:21" s="5" customFormat="1" x14ac:dyDescent="0.4">
      <c r="A17" s="12">
        <f t="shared" si="4"/>
        <v>48214</v>
      </c>
      <c r="B17" s="13">
        <f t="shared" si="5"/>
        <v>8</v>
      </c>
      <c r="C17" s="36">
        <f t="shared" si="23"/>
        <v>51500</v>
      </c>
      <c r="D17" s="14">
        <f t="shared" si="6"/>
        <v>0.98000000000000043</v>
      </c>
      <c r="E17" s="13">
        <f t="shared" si="7"/>
        <v>50470</v>
      </c>
      <c r="F17" s="13">
        <f t="shared" si="8"/>
        <v>101970</v>
      </c>
      <c r="G17" s="13">
        <f t="shared" si="15"/>
        <v>14276</v>
      </c>
      <c r="H17" s="13">
        <f t="shared" si="16"/>
        <v>10197</v>
      </c>
      <c r="I17" s="13">
        <f t="shared" si="17"/>
        <v>24473</v>
      </c>
      <c r="J17" s="13">
        <f t="shared" si="18"/>
        <v>171312</v>
      </c>
      <c r="K17" s="13">
        <f t="shared" si="19"/>
        <v>122364</v>
      </c>
      <c r="L17" s="13">
        <f t="shared" si="20"/>
        <v>293676</v>
      </c>
      <c r="M17" s="13">
        <f t="shared" si="11"/>
        <v>3486848</v>
      </c>
      <c r="N17" s="18">
        <f t="shared" si="21"/>
        <v>209211</v>
      </c>
      <c r="O17" s="18">
        <f t="shared" si="22"/>
        <v>3696059</v>
      </c>
      <c r="P17" s="22">
        <f t="shared" si="1"/>
        <v>48214</v>
      </c>
      <c r="Q17" s="23">
        <f t="shared" si="13"/>
        <v>52.637271169433596</v>
      </c>
      <c r="R17" s="23">
        <f t="shared" si="14"/>
        <v>5579.2405927482296</v>
      </c>
      <c r="S17" s="23">
        <f t="shared" ref="S17:S45" si="24">IF(OR(A17=0,A17=""),0,(S16+R17))</f>
        <v>80682.241664664994</v>
      </c>
      <c r="T17" s="24">
        <f t="shared" si="3"/>
        <v>4246893</v>
      </c>
      <c r="U17" s="242"/>
    </row>
    <row r="18" spans="1:21" x14ac:dyDescent="0.4">
      <c r="A18" s="12">
        <f t="shared" si="4"/>
        <v>48580</v>
      </c>
      <c r="B18" s="13">
        <f t="shared" si="5"/>
        <v>9</v>
      </c>
      <c r="C18" s="36">
        <f t="shared" si="23"/>
        <v>53000</v>
      </c>
      <c r="D18" s="14">
        <f t="shared" si="6"/>
        <v>1.0400000000000005</v>
      </c>
      <c r="E18" s="13">
        <f t="shared" si="7"/>
        <v>55120</v>
      </c>
      <c r="F18" s="13">
        <f t="shared" si="8"/>
        <v>108120</v>
      </c>
      <c r="G18" s="13">
        <f t="shared" si="15"/>
        <v>15137</v>
      </c>
      <c r="H18" s="13">
        <f t="shared" si="16"/>
        <v>10812</v>
      </c>
      <c r="I18" s="13">
        <f t="shared" si="17"/>
        <v>25949</v>
      </c>
      <c r="J18" s="13">
        <f t="shared" si="18"/>
        <v>181644</v>
      </c>
      <c r="K18" s="13">
        <f t="shared" si="19"/>
        <v>129744</v>
      </c>
      <c r="L18" s="13">
        <f t="shared" si="20"/>
        <v>311388</v>
      </c>
      <c r="M18" s="13">
        <f t="shared" si="11"/>
        <v>3798236</v>
      </c>
      <c r="N18" s="18">
        <f t="shared" si="21"/>
        <v>227894</v>
      </c>
      <c r="O18" s="18">
        <f t="shared" si="22"/>
        <v>4026130</v>
      </c>
      <c r="P18" s="22">
        <f t="shared" si="1"/>
        <v>48580</v>
      </c>
      <c r="Q18" s="23">
        <f t="shared" si="13"/>
        <v>54.742762016210939</v>
      </c>
      <c r="R18" s="23">
        <f t="shared" si="14"/>
        <v>5688.2040388789455</v>
      </c>
      <c r="S18" s="23">
        <f t="shared" si="24"/>
        <v>86370.445703543941</v>
      </c>
      <c r="T18" s="24">
        <f t="shared" si="3"/>
        <v>4728157</v>
      </c>
      <c r="U18" s="242"/>
    </row>
    <row r="19" spans="1:21" s="5" customFormat="1" x14ac:dyDescent="0.4">
      <c r="A19" s="12">
        <f t="shared" si="4"/>
        <v>48945</v>
      </c>
      <c r="B19" s="13">
        <f t="shared" si="5"/>
        <v>10</v>
      </c>
      <c r="C19" s="36">
        <f t="shared" si="23"/>
        <v>54600</v>
      </c>
      <c r="D19" s="14">
        <f t="shared" si="6"/>
        <v>1.1000000000000005</v>
      </c>
      <c r="E19" s="13">
        <f t="shared" si="7"/>
        <v>60060</v>
      </c>
      <c r="F19" s="13">
        <f t="shared" si="8"/>
        <v>114660</v>
      </c>
      <c r="G19" s="13">
        <f t="shared" si="15"/>
        <v>16052</v>
      </c>
      <c r="H19" s="13">
        <f t="shared" si="16"/>
        <v>11466</v>
      </c>
      <c r="I19" s="13">
        <f t="shared" si="17"/>
        <v>27518</v>
      </c>
      <c r="J19" s="13">
        <f t="shared" si="18"/>
        <v>192624</v>
      </c>
      <c r="K19" s="13">
        <f t="shared" si="19"/>
        <v>137592</v>
      </c>
      <c r="L19" s="13">
        <f t="shared" si="20"/>
        <v>330216</v>
      </c>
      <c r="M19" s="13">
        <f t="shared" si="11"/>
        <v>4128452</v>
      </c>
      <c r="N19" s="18">
        <f t="shared" si="21"/>
        <v>247707</v>
      </c>
      <c r="O19" s="18">
        <f t="shared" si="22"/>
        <v>4376159</v>
      </c>
      <c r="P19" s="22">
        <f t="shared" si="1"/>
        <v>48945</v>
      </c>
      <c r="Q19" s="23">
        <f t="shared" si="13"/>
        <v>56.932472496859376</v>
      </c>
      <c r="R19" s="23">
        <f t="shared" si="14"/>
        <v>5800.1345368974808</v>
      </c>
      <c r="S19" s="23">
        <f t="shared" si="24"/>
        <v>92170.580240441428</v>
      </c>
      <c r="T19" s="24">
        <f t="shared" si="3"/>
        <v>5247499</v>
      </c>
      <c r="U19" s="242"/>
    </row>
    <row r="20" spans="1:21" x14ac:dyDescent="0.4">
      <c r="A20" s="12">
        <f t="shared" si="4"/>
        <v>49310</v>
      </c>
      <c r="B20" s="13">
        <f t="shared" si="5"/>
        <v>11</v>
      </c>
      <c r="C20" s="36">
        <f t="shared" si="23"/>
        <v>56200</v>
      </c>
      <c r="D20" s="14">
        <f t="shared" si="6"/>
        <v>1.1600000000000006</v>
      </c>
      <c r="E20" s="13">
        <f t="shared" si="7"/>
        <v>65192</v>
      </c>
      <c r="F20" s="13">
        <f t="shared" si="8"/>
        <v>121392</v>
      </c>
      <c r="G20" s="13">
        <f t="shared" si="15"/>
        <v>16995</v>
      </c>
      <c r="H20" s="13">
        <f t="shared" si="16"/>
        <v>12139</v>
      </c>
      <c r="I20" s="13">
        <f t="shared" si="17"/>
        <v>29134</v>
      </c>
      <c r="J20" s="13">
        <f t="shared" si="18"/>
        <v>203940</v>
      </c>
      <c r="K20" s="13">
        <f t="shared" si="19"/>
        <v>145668</v>
      </c>
      <c r="L20" s="13">
        <f t="shared" si="20"/>
        <v>349608</v>
      </c>
      <c r="M20" s="13">
        <f t="shared" si="11"/>
        <v>4478060</v>
      </c>
      <c r="N20" s="18">
        <f t="shared" si="21"/>
        <v>268684</v>
      </c>
      <c r="O20" s="18">
        <f t="shared" si="22"/>
        <v>4746744</v>
      </c>
      <c r="P20" s="22">
        <f t="shared" si="1"/>
        <v>49310</v>
      </c>
      <c r="Q20" s="23">
        <f t="shared" si="13"/>
        <v>59.20977139673375</v>
      </c>
      <c r="R20" s="23">
        <f t="shared" si="14"/>
        <v>5904.5659483712479</v>
      </c>
      <c r="S20" s="23">
        <f t="shared" si="24"/>
        <v>98075.14618881268</v>
      </c>
      <c r="T20" s="24">
        <f t="shared" si="3"/>
        <v>5807007</v>
      </c>
      <c r="U20" s="242"/>
    </row>
    <row r="21" spans="1:21" s="5" customFormat="1" x14ac:dyDescent="0.4">
      <c r="A21" s="12">
        <f t="shared" si="4"/>
        <v>49675</v>
      </c>
      <c r="B21" s="13">
        <f t="shared" si="5"/>
        <v>12</v>
      </c>
      <c r="C21" s="36">
        <f t="shared" si="23"/>
        <v>57900</v>
      </c>
      <c r="D21" s="14">
        <f t="shared" si="6"/>
        <v>1.2200000000000006</v>
      </c>
      <c r="E21" s="13">
        <f t="shared" si="7"/>
        <v>70638</v>
      </c>
      <c r="F21" s="13">
        <f t="shared" si="8"/>
        <v>128538</v>
      </c>
      <c r="G21" s="13">
        <f t="shared" si="15"/>
        <v>17995</v>
      </c>
      <c r="H21" s="13">
        <f t="shared" si="16"/>
        <v>12854</v>
      </c>
      <c r="I21" s="13">
        <f t="shared" si="17"/>
        <v>30849</v>
      </c>
      <c r="J21" s="13">
        <f t="shared" si="18"/>
        <v>215940</v>
      </c>
      <c r="K21" s="13">
        <f t="shared" si="19"/>
        <v>154248</v>
      </c>
      <c r="L21" s="13">
        <f t="shared" si="20"/>
        <v>370188</v>
      </c>
      <c r="M21" s="13">
        <f t="shared" si="11"/>
        <v>4848248</v>
      </c>
      <c r="N21" s="18">
        <f t="shared" si="21"/>
        <v>290895</v>
      </c>
      <c r="O21" s="18">
        <f t="shared" si="22"/>
        <v>5139143</v>
      </c>
      <c r="P21" s="22">
        <f t="shared" si="1"/>
        <v>49675</v>
      </c>
      <c r="Q21" s="23">
        <f t="shared" si="13"/>
        <v>61.5781622526031</v>
      </c>
      <c r="R21" s="23">
        <f t="shared" si="14"/>
        <v>6011.6766473385787</v>
      </c>
      <c r="S21" s="23">
        <f t="shared" si="24"/>
        <v>104086.82283615126</v>
      </c>
      <c r="T21" s="24">
        <f t="shared" si="3"/>
        <v>6409475</v>
      </c>
      <c r="U21" s="242"/>
    </row>
    <row r="22" spans="1:21" x14ac:dyDescent="0.4">
      <c r="A22" s="12">
        <f t="shared" si="4"/>
        <v>50041</v>
      </c>
      <c r="B22" s="13">
        <f t="shared" si="5"/>
        <v>13</v>
      </c>
      <c r="C22" s="36">
        <f t="shared" si="23"/>
        <v>59600</v>
      </c>
      <c r="D22" s="14">
        <f t="shared" si="6"/>
        <v>1.2800000000000007</v>
      </c>
      <c r="E22" s="13">
        <f t="shared" si="7"/>
        <v>76288</v>
      </c>
      <c r="F22" s="13">
        <f t="shared" si="8"/>
        <v>135888</v>
      </c>
      <c r="G22" s="13">
        <f t="shared" si="15"/>
        <v>19024</v>
      </c>
      <c r="H22" s="13">
        <f t="shared" si="16"/>
        <v>13589</v>
      </c>
      <c r="I22" s="13">
        <f t="shared" si="17"/>
        <v>32613</v>
      </c>
      <c r="J22" s="13">
        <f t="shared" ref="J22:J45" si="25">+G22*12</f>
        <v>228288</v>
      </c>
      <c r="K22" s="13">
        <f t="shared" ref="K22:K45" si="26">+H22*12</f>
        <v>163068</v>
      </c>
      <c r="L22" s="13">
        <f t="shared" ref="L22:L45" si="27">+J22+K22</f>
        <v>391356</v>
      </c>
      <c r="M22" s="13">
        <f t="shared" si="11"/>
        <v>5239604</v>
      </c>
      <c r="N22" s="18">
        <f t="shared" si="21"/>
        <v>314376</v>
      </c>
      <c r="O22" s="18">
        <f t="shared" ref="O22:O45" si="28">+M22+N22</f>
        <v>5553980</v>
      </c>
      <c r="P22" s="22">
        <f t="shared" si="1"/>
        <v>50041</v>
      </c>
      <c r="Q22" s="23">
        <f t="shared" si="13"/>
        <v>64.041288742707223</v>
      </c>
      <c r="R22" s="23">
        <f t="shared" si="14"/>
        <v>6110.9950733864034</v>
      </c>
      <c r="S22" s="23">
        <f t="shared" si="24"/>
        <v>110197.81790953767</v>
      </c>
      <c r="T22" s="24">
        <f t="shared" si="3"/>
        <v>7057210</v>
      </c>
      <c r="U22" s="242"/>
    </row>
    <row r="23" spans="1:21" s="5" customFormat="1" x14ac:dyDescent="0.4">
      <c r="A23" s="12">
        <f t="shared" si="4"/>
        <v>50406</v>
      </c>
      <c r="B23" s="13">
        <f t="shared" si="5"/>
        <v>14</v>
      </c>
      <c r="C23" s="36">
        <f t="shared" si="23"/>
        <v>61400</v>
      </c>
      <c r="D23" s="14">
        <f t="shared" si="6"/>
        <v>1.3400000000000007</v>
      </c>
      <c r="E23" s="13">
        <f t="shared" si="7"/>
        <v>82276</v>
      </c>
      <c r="F23" s="13">
        <f t="shared" si="8"/>
        <v>143676</v>
      </c>
      <c r="G23" s="13">
        <f t="shared" si="15"/>
        <v>20115</v>
      </c>
      <c r="H23" s="13">
        <f t="shared" si="16"/>
        <v>14368</v>
      </c>
      <c r="I23" s="13">
        <f t="shared" si="17"/>
        <v>34483</v>
      </c>
      <c r="J23" s="13">
        <f t="shared" si="25"/>
        <v>241380</v>
      </c>
      <c r="K23" s="13">
        <f t="shared" si="26"/>
        <v>172416</v>
      </c>
      <c r="L23" s="13">
        <f t="shared" si="27"/>
        <v>413796</v>
      </c>
      <c r="M23" s="13">
        <f t="shared" si="11"/>
        <v>5653400</v>
      </c>
      <c r="N23" s="18">
        <f t="shared" si="21"/>
        <v>339204</v>
      </c>
      <c r="O23" s="18">
        <f t="shared" si="28"/>
        <v>5992604</v>
      </c>
      <c r="P23" s="22">
        <f t="shared" si="1"/>
        <v>50406</v>
      </c>
      <c r="Q23" s="23">
        <f t="shared" si="13"/>
        <v>66.602940292415511</v>
      </c>
      <c r="R23" s="23">
        <f t="shared" si="14"/>
        <v>6212.8788636546351</v>
      </c>
      <c r="S23" s="23">
        <f t="shared" si="24"/>
        <v>116410.69677319231</v>
      </c>
      <c r="T23" s="24">
        <f t="shared" si="3"/>
        <v>7753295</v>
      </c>
      <c r="U23" s="242"/>
    </row>
    <row r="24" spans="1:21" x14ac:dyDescent="0.4">
      <c r="A24" s="12">
        <f t="shared" si="4"/>
        <v>50771</v>
      </c>
      <c r="B24" s="13">
        <f t="shared" si="5"/>
        <v>15</v>
      </c>
      <c r="C24" s="36">
        <f t="shared" si="23"/>
        <v>63200</v>
      </c>
      <c r="D24" s="14">
        <f t="shared" si="6"/>
        <v>1.4000000000000008</v>
      </c>
      <c r="E24" s="13">
        <f t="shared" si="7"/>
        <v>88480</v>
      </c>
      <c r="F24" s="13">
        <f t="shared" si="8"/>
        <v>151680</v>
      </c>
      <c r="G24" s="13">
        <f t="shared" si="15"/>
        <v>21235</v>
      </c>
      <c r="H24" s="13">
        <f t="shared" si="16"/>
        <v>15168</v>
      </c>
      <c r="I24" s="13">
        <f t="shared" si="17"/>
        <v>36403</v>
      </c>
      <c r="J24" s="13">
        <f t="shared" si="25"/>
        <v>254820</v>
      </c>
      <c r="K24" s="13">
        <f t="shared" si="26"/>
        <v>182016</v>
      </c>
      <c r="L24" s="13">
        <f t="shared" si="27"/>
        <v>436836</v>
      </c>
      <c r="M24" s="13">
        <f t="shared" si="11"/>
        <v>6090236</v>
      </c>
      <c r="N24" s="18">
        <f t="shared" si="21"/>
        <v>365414</v>
      </c>
      <c r="O24" s="18">
        <f t="shared" si="28"/>
        <v>6455650</v>
      </c>
      <c r="P24" s="22">
        <f t="shared" si="1"/>
        <v>50771</v>
      </c>
      <c r="Q24" s="23">
        <f t="shared" si="13"/>
        <v>69.267057904112136</v>
      </c>
      <c r="R24" s="23">
        <f t="shared" si="14"/>
        <v>6306.5476319886629</v>
      </c>
      <c r="S24" s="23">
        <f t="shared" si="24"/>
        <v>122717.24440518097</v>
      </c>
      <c r="T24" s="24">
        <f t="shared" si="3"/>
        <v>8500262</v>
      </c>
      <c r="U24" s="242"/>
    </row>
    <row r="25" spans="1:21" s="5" customFormat="1" x14ac:dyDescent="0.4">
      <c r="A25" s="12">
        <f t="shared" si="4"/>
        <v>51136</v>
      </c>
      <c r="B25" s="13">
        <f t="shared" si="5"/>
        <v>16</v>
      </c>
      <c r="C25" s="36">
        <f>+IF($H$6&lt;A24,"",IF(CEILING(C24*3%,100)-ROUND(C24*3%,0)&lt;=50,CEILING(C24*3%,100),CEILING(C24*3%,100)-100)+C24)</f>
        <v>65100</v>
      </c>
      <c r="D25" s="14">
        <f t="shared" si="6"/>
        <v>1.4600000000000009</v>
      </c>
      <c r="E25" s="13">
        <f t="shared" si="7"/>
        <v>95046</v>
      </c>
      <c r="F25" s="13">
        <f t="shared" si="8"/>
        <v>160146</v>
      </c>
      <c r="G25" s="13">
        <f t="shared" si="15"/>
        <v>22420</v>
      </c>
      <c r="H25" s="13">
        <f t="shared" si="16"/>
        <v>16015</v>
      </c>
      <c r="I25" s="13">
        <f t="shared" si="17"/>
        <v>38435</v>
      </c>
      <c r="J25" s="13">
        <f t="shared" si="25"/>
        <v>269040</v>
      </c>
      <c r="K25" s="13">
        <f t="shared" si="26"/>
        <v>192180</v>
      </c>
      <c r="L25" s="13">
        <f t="shared" si="27"/>
        <v>461220</v>
      </c>
      <c r="M25" s="13">
        <f t="shared" si="11"/>
        <v>6551456</v>
      </c>
      <c r="N25" s="18">
        <f t="shared" si="21"/>
        <v>393087</v>
      </c>
      <c r="O25" s="18">
        <f t="shared" si="28"/>
        <v>6944543</v>
      </c>
      <c r="P25" s="22">
        <f t="shared" si="1"/>
        <v>51136</v>
      </c>
      <c r="Q25" s="23">
        <f t="shared" si="13"/>
        <v>72.037740220276618</v>
      </c>
      <c r="R25" s="23">
        <f t="shared" si="14"/>
        <v>6402.4773485354199</v>
      </c>
      <c r="S25" s="23">
        <f t="shared" si="24"/>
        <v>129119.7217537164</v>
      </c>
      <c r="T25" s="24">
        <f t="shared" si="3"/>
        <v>9301493</v>
      </c>
      <c r="U25" s="242"/>
    </row>
    <row r="26" spans="1:21" x14ac:dyDescent="0.4">
      <c r="A26" s="12">
        <f t="shared" si="4"/>
        <v>51502</v>
      </c>
      <c r="B26" s="13">
        <f t="shared" si="5"/>
        <v>17</v>
      </c>
      <c r="C26" s="36">
        <f t="shared" ref="C26:C45" si="29">+IF($H$6&lt;A25,"",IF(CEILING(C25*3%,100)-ROUND(C25*3%,0)&lt;=50,CEILING(C25*3%,100),CEILING(C25*3%,100)-100)+C25)</f>
        <v>67100</v>
      </c>
      <c r="D26" s="14">
        <f t="shared" si="6"/>
        <v>1.5200000000000009</v>
      </c>
      <c r="E26" s="13">
        <f t="shared" si="7"/>
        <v>101992</v>
      </c>
      <c r="F26" s="13">
        <f t="shared" si="8"/>
        <v>169092</v>
      </c>
      <c r="G26" s="13">
        <f t="shared" si="15"/>
        <v>23673</v>
      </c>
      <c r="H26" s="13">
        <f t="shared" si="16"/>
        <v>16909</v>
      </c>
      <c r="I26" s="13">
        <f t="shared" si="17"/>
        <v>40582</v>
      </c>
      <c r="J26" s="13">
        <f t="shared" si="25"/>
        <v>284076</v>
      </c>
      <c r="K26" s="13">
        <f t="shared" si="26"/>
        <v>202908</v>
      </c>
      <c r="L26" s="13">
        <f t="shared" si="27"/>
        <v>486984</v>
      </c>
      <c r="M26" s="13">
        <f t="shared" si="11"/>
        <v>7038440</v>
      </c>
      <c r="N26" s="18">
        <f t="shared" si="21"/>
        <v>422306</v>
      </c>
      <c r="O26" s="18">
        <f t="shared" si="28"/>
        <v>7460746</v>
      </c>
      <c r="P26" s="22">
        <f t="shared" si="1"/>
        <v>51502</v>
      </c>
      <c r="Q26" s="23">
        <f t="shared" si="13"/>
        <v>74.919249829087676</v>
      </c>
      <c r="R26" s="23">
        <f t="shared" si="14"/>
        <v>6500.1184757048468</v>
      </c>
      <c r="S26" s="23">
        <f t="shared" si="24"/>
        <v>135619.84022942124</v>
      </c>
      <c r="T26" s="24">
        <f t="shared" si="3"/>
        <v>10160537</v>
      </c>
      <c r="U26" s="242"/>
    </row>
    <row r="27" spans="1:21" s="5" customFormat="1" x14ac:dyDescent="0.4">
      <c r="A27" s="12">
        <f t="shared" si="4"/>
        <v>51867</v>
      </c>
      <c r="B27" s="13">
        <f t="shared" si="5"/>
        <v>18</v>
      </c>
      <c r="C27" s="36">
        <f t="shared" si="29"/>
        <v>69100</v>
      </c>
      <c r="D27" s="14">
        <f t="shared" si="6"/>
        <v>1.580000000000001</v>
      </c>
      <c r="E27" s="13">
        <f t="shared" si="7"/>
        <v>109178</v>
      </c>
      <c r="F27" s="13">
        <f t="shared" si="8"/>
        <v>178278</v>
      </c>
      <c r="G27" s="13">
        <f t="shared" si="15"/>
        <v>24959</v>
      </c>
      <c r="H27" s="13">
        <f t="shared" si="16"/>
        <v>17828</v>
      </c>
      <c r="I27" s="13">
        <f t="shared" si="17"/>
        <v>42787</v>
      </c>
      <c r="J27" s="13">
        <f t="shared" si="25"/>
        <v>299508</v>
      </c>
      <c r="K27" s="13">
        <f t="shared" si="26"/>
        <v>213936</v>
      </c>
      <c r="L27" s="13">
        <f t="shared" si="27"/>
        <v>513444</v>
      </c>
      <c r="M27" s="13">
        <f t="shared" si="11"/>
        <v>7551884</v>
      </c>
      <c r="N27" s="18">
        <f t="shared" si="21"/>
        <v>453113</v>
      </c>
      <c r="O27" s="18">
        <f t="shared" si="28"/>
        <v>8004997</v>
      </c>
      <c r="P27" s="22">
        <f t="shared" si="1"/>
        <v>51867</v>
      </c>
      <c r="Q27" s="23">
        <f t="shared" si="13"/>
        <v>77.916019822251187</v>
      </c>
      <c r="R27" s="23">
        <f t="shared" si="14"/>
        <v>6589.7103210779142</v>
      </c>
      <c r="S27" s="23">
        <f t="shared" si="24"/>
        <v>142209.55055049915</v>
      </c>
      <c r="T27" s="24">
        <f t="shared" si="3"/>
        <v>11080402</v>
      </c>
      <c r="U27" s="242"/>
    </row>
    <row r="28" spans="1:21" x14ac:dyDescent="0.4">
      <c r="A28" s="12">
        <f t="shared" si="4"/>
        <v>52232</v>
      </c>
      <c r="B28" s="13">
        <f t="shared" si="5"/>
        <v>19</v>
      </c>
      <c r="C28" s="36">
        <f t="shared" si="29"/>
        <v>71200</v>
      </c>
      <c r="D28" s="14">
        <f t="shared" si="6"/>
        <v>1.640000000000001</v>
      </c>
      <c r="E28" s="13">
        <f t="shared" si="7"/>
        <v>116768</v>
      </c>
      <c r="F28" s="13">
        <f t="shared" si="8"/>
        <v>187968</v>
      </c>
      <c r="G28" s="13">
        <f t="shared" si="15"/>
        <v>26316</v>
      </c>
      <c r="H28" s="13">
        <f t="shared" si="16"/>
        <v>18797</v>
      </c>
      <c r="I28" s="13">
        <f t="shared" si="17"/>
        <v>45113</v>
      </c>
      <c r="J28" s="13">
        <f t="shared" si="25"/>
        <v>315792</v>
      </c>
      <c r="K28" s="13">
        <f t="shared" si="26"/>
        <v>225564</v>
      </c>
      <c r="L28" s="13">
        <f t="shared" si="27"/>
        <v>541356</v>
      </c>
      <c r="M28" s="13">
        <f t="shared" si="11"/>
        <v>8093240</v>
      </c>
      <c r="N28" s="18">
        <f t="shared" si="21"/>
        <v>485594</v>
      </c>
      <c r="O28" s="18">
        <f t="shared" si="28"/>
        <v>8578834</v>
      </c>
      <c r="P28" s="22">
        <f t="shared" si="1"/>
        <v>52232</v>
      </c>
      <c r="Q28" s="23">
        <f t="shared" si="13"/>
        <v>81.032660615141239</v>
      </c>
      <c r="R28" s="23">
        <f t="shared" si="14"/>
        <v>6680.7136269550765</v>
      </c>
      <c r="S28" s="23">
        <f t="shared" si="24"/>
        <v>148890.26417745423</v>
      </c>
      <c r="T28" s="24">
        <f t="shared" si="3"/>
        <v>12064974</v>
      </c>
      <c r="U28" s="242"/>
    </row>
    <row r="29" spans="1:21" s="5" customFormat="1" x14ac:dyDescent="0.4">
      <c r="A29" s="12">
        <f t="shared" si="4"/>
        <v>52597</v>
      </c>
      <c r="B29" s="13">
        <f t="shared" si="5"/>
        <v>20</v>
      </c>
      <c r="C29" s="36">
        <f t="shared" si="29"/>
        <v>73300</v>
      </c>
      <c r="D29" s="14">
        <f t="shared" si="6"/>
        <v>1.7000000000000011</v>
      </c>
      <c r="E29" s="13">
        <f t="shared" si="7"/>
        <v>124610</v>
      </c>
      <c r="F29" s="13">
        <f t="shared" si="8"/>
        <v>197910</v>
      </c>
      <c r="G29" s="13">
        <f t="shared" si="15"/>
        <v>27707</v>
      </c>
      <c r="H29" s="13">
        <f t="shared" si="16"/>
        <v>19791</v>
      </c>
      <c r="I29" s="13">
        <f t="shared" si="17"/>
        <v>47498</v>
      </c>
      <c r="J29" s="13">
        <f t="shared" si="25"/>
        <v>332484</v>
      </c>
      <c r="K29" s="13">
        <f t="shared" si="26"/>
        <v>237492</v>
      </c>
      <c r="L29" s="13">
        <f t="shared" si="27"/>
        <v>569976</v>
      </c>
      <c r="M29" s="13">
        <f t="shared" si="11"/>
        <v>8663216</v>
      </c>
      <c r="N29" s="18">
        <f t="shared" si="21"/>
        <v>519793</v>
      </c>
      <c r="O29" s="18">
        <f t="shared" si="28"/>
        <v>9183009</v>
      </c>
      <c r="P29" s="22">
        <f t="shared" si="1"/>
        <v>52597</v>
      </c>
      <c r="Q29" s="23">
        <f t="shared" si="13"/>
        <v>84.273967039746893</v>
      </c>
      <c r="R29" s="23">
        <f t="shared" si="14"/>
        <v>6763.3697572487254</v>
      </c>
      <c r="S29" s="23">
        <f t="shared" si="24"/>
        <v>155653.63393470296</v>
      </c>
      <c r="T29" s="24">
        <f t="shared" si="3"/>
        <v>13117549</v>
      </c>
      <c r="U29" s="242"/>
    </row>
    <row r="30" spans="1:21" x14ac:dyDescent="0.4">
      <c r="A30" s="12">
        <f t="shared" si="4"/>
        <v>52963</v>
      </c>
      <c r="B30" s="13">
        <f t="shared" si="5"/>
        <v>21</v>
      </c>
      <c r="C30" s="36">
        <f t="shared" si="29"/>
        <v>75500</v>
      </c>
      <c r="D30" s="14">
        <f t="shared" si="6"/>
        <v>1.7600000000000011</v>
      </c>
      <c r="E30" s="13">
        <f t="shared" si="7"/>
        <v>132880</v>
      </c>
      <c r="F30" s="13">
        <f t="shared" si="8"/>
        <v>208380</v>
      </c>
      <c r="G30" s="13">
        <f t="shared" si="15"/>
        <v>29173</v>
      </c>
      <c r="H30" s="13">
        <f t="shared" si="16"/>
        <v>20838</v>
      </c>
      <c r="I30" s="13">
        <f t="shared" si="17"/>
        <v>50011</v>
      </c>
      <c r="J30" s="13">
        <f t="shared" si="25"/>
        <v>350076</v>
      </c>
      <c r="K30" s="13">
        <f t="shared" si="26"/>
        <v>250056</v>
      </c>
      <c r="L30" s="13">
        <f t="shared" si="27"/>
        <v>600132</v>
      </c>
      <c r="M30" s="13">
        <f t="shared" si="11"/>
        <v>9263348</v>
      </c>
      <c r="N30" s="18">
        <f t="shared" si="21"/>
        <v>555801</v>
      </c>
      <c r="O30" s="18">
        <f t="shared" si="28"/>
        <v>9819149</v>
      </c>
      <c r="P30" s="22">
        <f t="shared" si="1"/>
        <v>52963</v>
      </c>
      <c r="Q30" s="23">
        <f t="shared" si="13"/>
        <v>87.644925721336762</v>
      </c>
      <c r="R30" s="23">
        <f t="shared" si="14"/>
        <v>6847.3102699418523</v>
      </c>
      <c r="S30" s="23">
        <f t="shared" si="24"/>
        <v>162500.94420464482</v>
      </c>
      <c r="T30" s="24">
        <f t="shared" si="3"/>
        <v>14242383</v>
      </c>
      <c r="U30" s="242"/>
    </row>
    <row r="31" spans="1:21" s="5" customFormat="1" x14ac:dyDescent="0.4">
      <c r="A31" s="12">
        <f t="shared" si="4"/>
        <v>53328</v>
      </c>
      <c r="B31" s="13">
        <f t="shared" si="5"/>
        <v>22</v>
      </c>
      <c r="C31" s="36">
        <f t="shared" si="29"/>
        <v>77800</v>
      </c>
      <c r="D31" s="14">
        <f t="shared" si="6"/>
        <v>1.8200000000000012</v>
      </c>
      <c r="E31" s="13">
        <f t="shared" si="7"/>
        <v>141596</v>
      </c>
      <c r="F31" s="13">
        <f t="shared" si="8"/>
        <v>219396</v>
      </c>
      <c r="G31" s="13">
        <f t="shared" si="15"/>
        <v>30715</v>
      </c>
      <c r="H31" s="13">
        <f t="shared" si="16"/>
        <v>21940</v>
      </c>
      <c r="I31" s="13">
        <f t="shared" si="17"/>
        <v>52655</v>
      </c>
      <c r="J31" s="13">
        <f t="shared" si="25"/>
        <v>368580</v>
      </c>
      <c r="K31" s="13">
        <f t="shared" si="26"/>
        <v>263280</v>
      </c>
      <c r="L31" s="13">
        <f t="shared" si="27"/>
        <v>631860</v>
      </c>
      <c r="M31" s="13">
        <f t="shared" si="11"/>
        <v>9895208</v>
      </c>
      <c r="N31" s="18">
        <f t="shared" si="21"/>
        <v>593712</v>
      </c>
      <c r="O31" s="18">
        <f t="shared" si="28"/>
        <v>10488920</v>
      </c>
      <c r="P31" s="22">
        <f t="shared" si="1"/>
        <v>53328</v>
      </c>
      <c r="Q31" s="23">
        <f t="shared" si="13"/>
        <v>91.150722750190226</v>
      </c>
      <c r="R31" s="23">
        <f t="shared" si="14"/>
        <v>6932.0349958353054</v>
      </c>
      <c r="S31" s="23">
        <f t="shared" si="24"/>
        <v>169432.97920048013</v>
      </c>
      <c r="T31" s="24">
        <f t="shared" si="3"/>
        <v>15443939</v>
      </c>
      <c r="U31" s="242"/>
    </row>
    <row r="32" spans="1:21" x14ac:dyDescent="0.4">
      <c r="A32" s="12">
        <f t="shared" si="4"/>
        <v>53693</v>
      </c>
      <c r="B32" s="13">
        <f t="shared" si="5"/>
        <v>23</v>
      </c>
      <c r="C32" s="36">
        <f t="shared" si="29"/>
        <v>80100</v>
      </c>
      <c r="D32" s="14">
        <f t="shared" si="6"/>
        <v>1.8800000000000012</v>
      </c>
      <c r="E32" s="13">
        <f t="shared" si="7"/>
        <v>150588</v>
      </c>
      <c r="F32" s="13">
        <f t="shared" si="8"/>
        <v>230688</v>
      </c>
      <c r="G32" s="13">
        <f t="shared" si="15"/>
        <v>32296</v>
      </c>
      <c r="H32" s="13">
        <f t="shared" si="16"/>
        <v>23069</v>
      </c>
      <c r="I32" s="13">
        <f t="shared" si="17"/>
        <v>55365</v>
      </c>
      <c r="J32" s="13">
        <f t="shared" si="25"/>
        <v>387552</v>
      </c>
      <c r="K32" s="13">
        <f t="shared" si="26"/>
        <v>276828</v>
      </c>
      <c r="L32" s="13">
        <f t="shared" si="27"/>
        <v>664380</v>
      </c>
      <c r="M32" s="13">
        <f t="shared" si="11"/>
        <v>10559588</v>
      </c>
      <c r="N32" s="18">
        <f t="shared" si="21"/>
        <v>633575</v>
      </c>
      <c r="O32" s="18">
        <f t="shared" si="28"/>
        <v>11193163</v>
      </c>
      <c r="P32" s="22">
        <f t="shared" si="1"/>
        <v>53693</v>
      </c>
      <c r="Q32" s="23">
        <f t="shared" si="13"/>
        <v>94.796751660197842</v>
      </c>
      <c r="R32" s="23">
        <f t="shared" si="14"/>
        <v>7008.467994573195</v>
      </c>
      <c r="S32" s="23">
        <f t="shared" si="24"/>
        <v>176441.44719505333</v>
      </c>
      <c r="T32" s="24">
        <f t="shared" si="3"/>
        <v>16726076</v>
      </c>
      <c r="U32" s="242"/>
    </row>
    <row r="33" spans="1:22" x14ac:dyDescent="0.4">
      <c r="A33" s="12">
        <f t="shared" si="4"/>
        <v>54058</v>
      </c>
      <c r="B33" s="13">
        <f t="shared" si="5"/>
        <v>24</v>
      </c>
      <c r="C33" s="36">
        <f t="shared" si="29"/>
        <v>82500</v>
      </c>
      <c r="D33" s="14">
        <f t="shared" si="6"/>
        <v>1.9400000000000013</v>
      </c>
      <c r="E33" s="13">
        <f t="shared" si="7"/>
        <v>160050</v>
      </c>
      <c r="F33" s="13">
        <f t="shared" si="8"/>
        <v>242550</v>
      </c>
      <c r="G33" s="13">
        <f t="shared" si="15"/>
        <v>33957</v>
      </c>
      <c r="H33" s="13">
        <f t="shared" si="16"/>
        <v>24255</v>
      </c>
      <c r="I33" s="13">
        <f t="shared" si="17"/>
        <v>58212</v>
      </c>
      <c r="J33" s="13">
        <f t="shared" si="25"/>
        <v>407484</v>
      </c>
      <c r="K33" s="13">
        <f t="shared" si="26"/>
        <v>291060</v>
      </c>
      <c r="L33" s="13">
        <f t="shared" si="27"/>
        <v>698544</v>
      </c>
      <c r="M33" s="13">
        <f t="shared" si="11"/>
        <v>11258132</v>
      </c>
      <c r="N33" s="18">
        <f t="shared" si="21"/>
        <v>675488</v>
      </c>
      <c r="O33" s="18">
        <f t="shared" si="28"/>
        <v>11933620</v>
      </c>
      <c r="P33" s="22">
        <f t="shared" si="1"/>
        <v>54058</v>
      </c>
      <c r="Q33" s="23">
        <f t="shared" si="13"/>
        <v>98.588621726605751</v>
      </c>
      <c r="R33" s="23">
        <f t="shared" si="14"/>
        <v>7085.4423945302651</v>
      </c>
      <c r="S33" s="23">
        <f t="shared" si="24"/>
        <v>183526.88958958359</v>
      </c>
      <c r="T33" s="24">
        <f t="shared" si="3"/>
        <v>18093663</v>
      </c>
      <c r="U33" s="242"/>
    </row>
    <row r="34" spans="1:22" x14ac:dyDescent="0.4">
      <c r="A34" s="12">
        <f t="shared" si="4"/>
        <v>54424</v>
      </c>
      <c r="B34" s="13">
        <f t="shared" si="5"/>
        <v>25</v>
      </c>
      <c r="C34" s="36">
        <f t="shared" si="29"/>
        <v>85000</v>
      </c>
      <c r="D34" s="14">
        <f t="shared" si="6"/>
        <v>2.0000000000000013</v>
      </c>
      <c r="E34" s="13">
        <f t="shared" si="7"/>
        <v>170000</v>
      </c>
      <c r="F34" s="13">
        <f t="shared" si="8"/>
        <v>255000</v>
      </c>
      <c r="G34" s="13">
        <f t="shared" si="15"/>
        <v>35700</v>
      </c>
      <c r="H34" s="13">
        <f t="shared" si="16"/>
        <v>25500</v>
      </c>
      <c r="I34" s="13">
        <f t="shared" si="17"/>
        <v>61200</v>
      </c>
      <c r="J34" s="13">
        <f t="shared" si="25"/>
        <v>428400</v>
      </c>
      <c r="K34" s="13">
        <f t="shared" si="26"/>
        <v>306000</v>
      </c>
      <c r="L34" s="13">
        <f>+J34+K34</f>
        <v>734400</v>
      </c>
      <c r="M34" s="13">
        <f t="shared" si="11"/>
        <v>11992532</v>
      </c>
      <c r="N34" s="18">
        <f t="shared" si="21"/>
        <v>719552</v>
      </c>
      <c r="O34" s="18">
        <f t="shared" si="28"/>
        <v>12712084</v>
      </c>
      <c r="P34" s="22">
        <f t="shared" si="1"/>
        <v>54424</v>
      </c>
      <c r="Q34" s="23">
        <f t="shared" si="13"/>
        <v>102.53216659566998</v>
      </c>
      <c r="R34" s="23">
        <f>IF(OR(A34=0,A34=""),0,(L34/Q34))</f>
        <v>7162.6302689580962</v>
      </c>
      <c r="S34" s="23">
        <f>IF(OR(A34=0,A34=""),0,(S33+R34))</f>
        <v>190689.51985854169</v>
      </c>
      <c r="T34" s="24">
        <f t="shared" si="3"/>
        <v>19551810</v>
      </c>
      <c r="U34" s="242"/>
    </row>
    <row r="35" spans="1:22" x14ac:dyDescent="0.4">
      <c r="A35" s="12">
        <f t="shared" si="4"/>
        <v>54789</v>
      </c>
      <c r="B35" s="13">
        <f t="shared" si="5"/>
        <v>26</v>
      </c>
      <c r="C35" s="36">
        <f t="shared" si="29"/>
        <v>87600</v>
      </c>
      <c r="D35" s="14">
        <f t="shared" si="6"/>
        <v>2.0600000000000014</v>
      </c>
      <c r="E35" s="13">
        <f t="shared" si="7"/>
        <v>180456</v>
      </c>
      <c r="F35" s="13">
        <f t="shared" si="8"/>
        <v>268056</v>
      </c>
      <c r="G35" s="13">
        <f t="shared" si="15"/>
        <v>37528</v>
      </c>
      <c r="H35" s="13">
        <f t="shared" si="16"/>
        <v>26806</v>
      </c>
      <c r="I35" s="13">
        <f t="shared" si="17"/>
        <v>64334</v>
      </c>
      <c r="J35" s="13">
        <f t="shared" si="25"/>
        <v>450336</v>
      </c>
      <c r="K35" s="13">
        <f t="shared" si="26"/>
        <v>321672</v>
      </c>
      <c r="L35" s="13">
        <f t="shared" si="27"/>
        <v>772008</v>
      </c>
      <c r="M35" s="13">
        <f t="shared" si="11"/>
        <v>12764540</v>
      </c>
      <c r="N35" s="18">
        <f t="shared" si="21"/>
        <v>765872</v>
      </c>
      <c r="O35" s="18">
        <f t="shared" si="28"/>
        <v>13530412</v>
      </c>
      <c r="P35" s="22">
        <f t="shared" si="1"/>
        <v>54789</v>
      </c>
      <c r="Q35" s="23">
        <f t="shared" si="13"/>
        <v>106.63345325949678</v>
      </c>
      <c r="R35" s="23">
        <f t="shared" si="14"/>
        <v>7239.8293068619623</v>
      </c>
      <c r="S35" s="23">
        <f t="shared" si="24"/>
        <v>197929.34916540366</v>
      </c>
      <c r="T35" s="24">
        <f t="shared" si="3"/>
        <v>21105890</v>
      </c>
      <c r="U35" s="242"/>
    </row>
    <row r="36" spans="1:22" x14ac:dyDescent="0.4">
      <c r="A36" s="12">
        <f t="shared" si="4"/>
        <v>55154</v>
      </c>
      <c r="B36" s="13">
        <f t="shared" si="5"/>
        <v>27</v>
      </c>
      <c r="C36" s="36">
        <f t="shared" si="29"/>
        <v>90200</v>
      </c>
      <c r="D36" s="14">
        <f t="shared" si="6"/>
        <v>2.1200000000000014</v>
      </c>
      <c r="E36" s="13">
        <f t="shared" si="7"/>
        <v>191224</v>
      </c>
      <c r="F36" s="13">
        <f t="shared" si="8"/>
        <v>281424</v>
      </c>
      <c r="G36" s="13">
        <f t="shared" si="15"/>
        <v>39399</v>
      </c>
      <c r="H36" s="13">
        <f t="shared" si="16"/>
        <v>28142</v>
      </c>
      <c r="I36" s="13">
        <f t="shared" si="17"/>
        <v>67541</v>
      </c>
      <c r="J36" s="13">
        <f t="shared" si="25"/>
        <v>472788</v>
      </c>
      <c r="K36" s="13">
        <f t="shared" si="26"/>
        <v>337704</v>
      </c>
      <c r="L36" s="13">
        <f t="shared" si="27"/>
        <v>810492</v>
      </c>
      <c r="M36" s="13">
        <f t="shared" si="11"/>
        <v>13575032</v>
      </c>
      <c r="N36" s="18">
        <f t="shared" si="21"/>
        <v>814502</v>
      </c>
      <c r="O36" s="18">
        <f t="shared" si="28"/>
        <v>14389534</v>
      </c>
      <c r="P36" s="22">
        <f t="shared" si="1"/>
        <v>55154</v>
      </c>
      <c r="Q36" s="23">
        <f t="shared" si="13"/>
        <v>110.89879138987665</v>
      </c>
      <c r="R36" s="23">
        <f t="shared" si="14"/>
        <v>7308.393444529328</v>
      </c>
      <c r="S36" s="23">
        <f t="shared" si="24"/>
        <v>205237.74260993299</v>
      </c>
      <c r="T36" s="24">
        <f t="shared" si="3"/>
        <v>22760618</v>
      </c>
      <c r="U36" s="242"/>
    </row>
    <row r="37" spans="1:22" x14ac:dyDescent="0.4">
      <c r="A37" s="12">
        <f t="shared" si="4"/>
        <v>55519</v>
      </c>
      <c r="B37" s="13">
        <f t="shared" si="5"/>
        <v>28</v>
      </c>
      <c r="C37" s="36">
        <f t="shared" si="29"/>
        <v>92900</v>
      </c>
      <c r="D37" s="14">
        <f t="shared" si="6"/>
        <v>2.1800000000000015</v>
      </c>
      <c r="E37" s="13">
        <f t="shared" si="7"/>
        <v>202522</v>
      </c>
      <c r="F37" s="13">
        <f t="shared" si="8"/>
        <v>295422</v>
      </c>
      <c r="G37" s="13">
        <f t="shared" si="15"/>
        <v>41359</v>
      </c>
      <c r="H37" s="13">
        <f t="shared" si="16"/>
        <v>29542</v>
      </c>
      <c r="I37" s="13">
        <f t="shared" si="17"/>
        <v>70901</v>
      </c>
      <c r="J37" s="13">
        <f t="shared" si="25"/>
        <v>496308</v>
      </c>
      <c r="K37" s="13">
        <f t="shared" si="26"/>
        <v>354504</v>
      </c>
      <c r="L37" s="13">
        <f t="shared" si="27"/>
        <v>850812</v>
      </c>
      <c r="M37" s="13">
        <f t="shared" si="11"/>
        <v>14425844</v>
      </c>
      <c r="N37" s="18">
        <f t="shared" si="21"/>
        <v>865551</v>
      </c>
      <c r="O37" s="18">
        <f t="shared" si="28"/>
        <v>15291395</v>
      </c>
      <c r="P37" s="22">
        <f t="shared" si="1"/>
        <v>55519</v>
      </c>
      <c r="Q37" s="23">
        <f t="shared" si="13"/>
        <v>115.33474304547171</v>
      </c>
      <c r="R37" s="23">
        <f t="shared" si="14"/>
        <v>7376.8924916628121</v>
      </c>
      <c r="S37" s="23">
        <f t="shared" si="24"/>
        <v>212614.63510159581</v>
      </c>
      <c r="T37" s="24">
        <f t="shared" si="3"/>
        <v>24521854</v>
      </c>
      <c r="U37" s="242"/>
    </row>
    <row r="38" spans="1:22" x14ac:dyDescent="0.4">
      <c r="A38" s="12">
        <f t="shared" si="4"/>
        <v>55885</v>
      </c>
      <c r="B38" s="13">
        <f t="shared" si="5"/>
        <v>29</v>
      </c>
      <c r="C38" s="36">
        <f t="shared" si="29"/>
        <v>95700</v>
      </c>
      <c r="D38" s="14">
        <f t="shared" si="6"/>
        <v>2.2400000000000015</v>
      </c>
      <c r="E38" s="13">
        <f t="shared" si="7"/>
        <v>214368</v>
      </c>
      <c r="F38" s="13">
        <f t="shared" si="8"/>
        <v>310068</v>
      </c>
      <c r="G38" s="13">
        <f t="shared" si="15"/>
        <v>43410</v>
      </c>
      <c r="H38" s="13">
        <f t="shared" si="16"/>
        <v>31007</v>
      </c>
      <c r="I38" s="13">
        <f t="shared" si="17"/>
        <v>74417</v>
      </c>
      <c r="J38" s="13">
        <f t="shared" si="25"/>
        <v>520920</v>
      </c>
      <c r="K38" s="13">
        <f t="shared" si="26"/>
        <v>372084</v>
      </c>
      <c r="L38" s="13">
        <f t="shared" si="27"/>
        <v>893004</v>
      </c>
      <c r="M38" s="13">
        <f t="shared" si="11"/>
        <v>15318848</v>
      </c>
      <c r="N38" s="18">
        <f t="shared" si="21"/>
        <v>919131</v>
      </c>
      <c r="O38" s="18">
        <f t="shared" si="28"/>
        <v>16237979</v>
      </c>
      <c r="P38" s="22">
        <f t="shared" si="1"/>
        <v>55885</v>
      </c>
      <c r="Q38" s="23">
        <f t="shared" si="13"/>
        <v>119.94813276729057</v>
      </c>
      <c r="R38" s="23">
        <f t="shared" si="14"/>
        <v>7444.9178940742877</v>
      </c>
      <c r="S38" s="23">
        <f t="shared" si="24"/>
        <v>220059.55299567009</v>
      </c>
      <c r="T38" s="24">
        <f t="shared" si="3"/>
        <v>26395732</v>
      </c>
      <c r="U38" s="242"/>
    </row>
    <row r="39" spans="1:22" x14ac:dyDescent="0.4">
      <c r="A39" s="12">
        <f t="shared" si="4"/>
        <v>56250</v>
      </c>
      <c r="B39" s="13">
        <f t="shared" si="5"/>
        <v>30</v>
      </c>
      <c r="C39" s="36">
        <f t="shared" si="29"/>
        <v>98600</v>
      </c>
      <c r="D39" s="14">
        <f t="shared" si="6"/>
        <v>2.3000000000000016</v>
      </c>
      <c r="E39" s="13">
        <f t="shared" si="7"/>
        <v>226780</v>
      </c>
      <c r="F39" s="13">
        <f t="shared" si="8"/>
        <v>325380</v>
      </c>
      <c r="G39" s="13">
        <f t="shared" si="15"/>
        <v>45553</v>
      </c>
      <c r="H39" s="13">
        <f t="shared" si="16"/>
        <v>32538</v>
      </c>
      <c r="I39" s="13">
        <f t="shared" si="17"/>
        <v>78091</v>
      </c>
      <c r="J39" s="13">
        <f t="shared" si="25"/>
        <v>546636</v>
      </c>
      <c r="K39" s="13">
        <f t="shared" si="26"/>
        <v>390456</v>
      </c>
      <c r="L39" s="13">
        <f t="shared" si="27"/>
        <v>937092</v>
      </c>
      <c r="M39" s="13">
        <f t="shared" si="11"/>
        <v>16255940</v>
      </c>
      <c r="N39" s="18">
        <f t="shared" si="21"/>
        <v>975356</v>
      </c>
      <c r="O39" s="18">
        <f t="shared" si="28"/>
        <v>17231296</v>
      </c>
      <c r="P39" s="22">
        <f t="shared" si="1"/>
        <v>56250</v>
      </c>
      <c r="Q39" s="23">
        <f t="shared" si="13"/>
        <v>124.7460580779822</v>
      </c>
      <c r="R39" s="23">
        <f t="shared" si="14"/>
        <v>7511.9968874222704</v>
      </c>
      <c r="S39" s="23">
        <f t="shared" si="24"/>
        <v>227571.54988309238</v>
      </c>
      <c r="T39" s="24">
        <f t="shared" si="3"/>
        <v>28388654</v>
      </c>
      <c r="U39" s="242"/>
    </row>
    <row r="40" spans="1:22" x14ac:dyDescent="0.4">
      <c r="A40" s="12">
        <f t="shared" si="4"/>
        <v>56615</v>
      </c>
      <c r="B40" s="13">
        <f t="shared" si="5"/>
        <v>31</v>
      </c>
      <c r="C40" s="36">
        <f t="shared" si="29"/>
        <v>101600</v>
      </c>
      <c r="D40" s="14">
        <f t="shared" si="6"/>
        <v>2.3600000000000017</v>
      </c>
      <c r="E40" s="13">
        <f t="shared" si="7"/>
        <v>239776</v>
      </c>
      <c r="F40" s="13">
        <f t="shared" si="8"/>
        <v>341376</v>
      </c>
      <c r="G40" s="13">
        <f t="shared" si="15"/>
        <v>47793</v>
      </c>
      <c r="H40" s="13">
        <f t="shared" si="16"/>
        <v>34138</v>
      </c>
      <c r="I40" s="13">
        <f t="shared" si="17"/>
        <v>81931</v>
      </c>
      <c r="J40" s="13">
        <f t="shared" si="25"/>
        <v>573516</v>
      </c>
      <c r="K40" s="13">
        <f t="shared" si="26"/>
        <v>409656</v>
      </c>
      <c r="L40" s="13">
        <f t="shared" si="27"/>
        <v>983172</v>
      </c>
      <c r="M40" s="13">
        <f t="shared" si="11"/>
        <v>17239112</v>
      </c>
      <c r="N40" s="18">
        <f t="shared" si="21"/>
        <v>1034347</v>
      </c>
      <c r="O40" s="18">
        <f t="shared" si="28"/>
        <v>18273459</v>
      </c>
      <c r="P40" s="22">
        <f t="shared" si="1"/>
        <v>56615</v>
      </c>
      <c r="Q40" s="23">
        <f t="shared" si="13"/>
        <v>129.73590040110147</v>
      </c>
      <c r="R40" s="23">
        <f t="shared" si="14"/>
        <v>7578.2570357191025</v>
      </c>
      <c r="S40" s="23">
        <f t="shared" si="24"/>
        <v>235149.80691881149</v>
      </c>
      <c r="T40" s="24">
        <f t="shared" si="3"/>
        <v>30507372</v>
      </c>
      <c r="U40" s="242"/>
    </row>
    <row r="41" spans="1:22" x14ac:dyDescent="0.4">
      <c r="A41" s="12">
        <f t="shared" si="4"/>
        <v>56980</v>
      </c>
      <c r="B41" s="13">
        <f t="shared" si="5"/>
        <v>32</v>
      </c>
      <c r="C41" s="36">
        <f t="shared" si="29"/>
        <v>104600</v>
      </c>
      <c r="D41" s="14">
        <f t="shared" si="6"/>
        <v>2.4200000000000017</v>
      </c>
      <c r="E41" s="13">
        <f t="shared" si="7"/>
        <v>253132</v>
      </c>
      <c r="F41" s="13">
        <f t="shared" si="8"/>
        <v>357732</v>
      </c>
      <c r="G41" s="13">
        <f t="shared" si="15"/>
        <v>50082</v>
      </c>
      <c r="H41" s="13">
        <f t="shared" si="16"/>
        <v>35773</v>
      </c>
      <c r="I41" s="13">
        <f t="shared" si="17"/>
        <v>85855</v>
      </c>
      <c r="J41" s="13">
        <f t="shared" si="25"/>
        <v>600984</v>
      </c>
      <c r="K41" s="13">
        <f t="shared" si="26"/>
        <v>429276</v>
      </c>
      <c r="L41" s="13">
        <f t="shared" si="27"/>
        <v>1030260</v>
      </c>
      <c r="M41" s="13">
        <f t="shared" si="11"/>
        <v>18269372</v>
      </c>
      <c r="N41" s="18">
        <f t="shared" si="21"/>
        <v>1096162</v>
      </c>
      <c r="O41" s="18">
        <f t="shared" si="28"/>
        <v>19365534</v>
      </c>
      <c r="P41" s="22">
        <f t="shared" si="1"/>
        <v>56980</v>
      </c>
      <c r="Q41" s="23">
        <f t="shared" si="13"/>
        <v>134.92533641714553</v>
      </c>
      <c r="R41" s="23">
        <f t="shared" si="14"/>
        <v>7635.7786265936675</v>
      </c>
      <c r="S41" s="23">
        <f t="shared" si="24"/>
        <v>242785.58554540516</v>
      </c>
      <c r="T41" s="24">
        <f t="shared" si="3"/>
        <v>32757927</v>
      </c>
      <c r="U41" s="242"/>
    </row>
    <row r="42" spans="1:22" x14ac:dyDescent="0.4">
      <c r="A42" s="12">
        <f t="shared" si="4"/>
        <v>57346</v>
      </c>
      <c r="B42" s="13">
        <f t="shared" si="5"/>
        <v>33</v>
      </c>
      <c r="C42" s="36">
        <f t="shared" si="29"/>
        <v>107700</v>
      </c>
      <c r="D42" s="14">
        <f t="shared" si="6"/>
        <v>2.4800000000000018</v>
      </c>
      <c r="E42" s="13">
        <f t="shared" si="7"/>
        <v>267096</v>
      </c>
      <c r="F42" s="13">
        <f t="shared" si="8"/>
        <v>374796</v>
      </c>
      <c r="G42" s="13">
        <f t="shared" si="15"/>
        <v>52471</v>
      </c>
      <c r="H42" s="13">
        <f t="shared" si="16"/>
        <v>37480</v>
      </c>
      <c r="I42" s="13">
        <f t="shared" si="17"/>
        <v>89951</v>
      </c>
      <c r="J42" s="13">
        <f t="shared" si="25"/>
        <v>629652</v>
      </c>
      <c r="K42" s="13">
        <f t="shared" si="26"/>
        <v>449760</v>
      </c>
      <c r="L42" s="13">
        <f t="shared" si="27"/>
        <v>1079412</v>
      </c>
      <c r="M42" s="13">
        <f t="shared" si="11"/>
        <v>19348784</v>
      </c>
      <c r="N42" s="18">
        <f t="shared" si="21"/>
        <v>1160927</v>
      </c>
      <c r="O42" s="18">
        <f t="shared" si="28"/>
        <v>20509711</v>
      </c>
      <c r="P42" s="22">
        <f t="shared" si="1"/>
        <v>57346</v>
      </c>
      <c r="Q42" s="23">
        <f t="shared" si="13"/>
        <v>140.32234987383134</v>
      </c>
      <c r="R42" s="23">
        <f t="shared" si="14"/>
        <v>7692.3740300140107</v>
      </c>
      <c r="S42" s="23">
        <f t="shared" si="24"/>
        <v>250477.95957541917</v>
      </c>
      <c r="T42" s="24">
        <f t="shared" si="3"/>
        <v>35147656</v>
      </c>
      <c r="U42" s="242"/>
    </row>
    <row r="43" spans="1:22" x14ac:dyDescent="0.4">
      <c r="A43" s="12">
        <f t="shared" si="4"/>
        <v>57711</v>
      </c>
      <c r="B43" s="13">
        <f t="shared" si="5"/>
        <v>34</v>
      </c>
      <c r="C43" s="36">
        <f t="shared" si="29"/>
        <v>110900</v>
      </c>
      <c r="D43" s="14">
        <f t="shared" si="6"/>
        <v>2.5400000000000018</v>
      </c>
      <c r="E43" s="13">
        <f t="shared" si="7"/>
        <v>281686</v>
      </c>
      <c r="F43" s="13">
        <f t="shared" si="8"/>
        <v>392586</v>
      </c>
      <c r="G43" s="13">
        <f t="shared" si="15"/>
        <v>54962</v>
      </c>
      <c r="H43" s="13">
        <f t="shared" si="16"/>
        <v>39259</v>
      </c>
      <c r="I43" s="13">
        <f t="shared" si="17"/>
        <v>94221</v>
      </c>
      <c r="J43" s="13">
        <f t="shared" si="25"/>
        <v>659544</v>
      </c>
      <c r="K43" s="13">
        <f t="shared" si="26"/>
        <v>471108</v>
      </c>
      <c r="L43" s="13">
        <f t="shared" si="27"/>
        <v>1130652</v>
      </c>
      <c r="M43" s="13">
        <f t="shared" si="11"/>
        <v>20479436</v>
      </c>
      <c r="N43" s="18">
        <f t="shared" si="21"/>
        <v>1228766</v>
      </c>
      <c r="O43" s="18">
        <f t="shared" si="28"/>
        <v>21708202</v>
      </c>
      <c r="P43" s="22">
        <f>+A43</f>
        <v>57711</v>
      </c>
      <c r="Q43" s="23">
        <f t="shared" si="13"/>
        <v>145.9352438687846</v>
      </c>
      <c r="R43" s="23">
        <f t="shared" si="14"/>
        <v>7747.6281261886825</v>
      </c>
      <c r="S43" s="23">
        <f t="shared" si="24"/>
        <v>258225.58770160784</v>
      </c>
      <c r="T43" s="24">
        <f t="shared" si="3"/>
        <v>37684214</v>
      </c>
      <c r="U43" s="242"/>
    </row>
    <row r="44" spans="1:22" x14ac:dyDescent="0.4">
      <c r="A44" s="12" t="str">
        <f t="shared" si="4"/>
        <v/>
      </c>
      <c r="B44" s="13">
        <f t="shared" si="5"/>
        <v>0</v>
      </c>
      <c r="C44" s="36" t="str">
        <f t="shared" si="29"/>
        <v/>
      </c>
      <c r="D44" s="14">
        <f t="shared" si="6"/>
        <v>0</v>
      </c>
      <c r="E44" s="13">
        <f t="shared" si="7"/>
        <v>0</v>
      </c>
      <c r="F44" s="13">
        <f t="shared" si="8"/>
        <v>0</v>
      </c>
      <c r="G44" s="13">
        <f t="shared" si="15"/>
        <v>0</v>
      </c>
      <c r="H44" s="13">
        <f t="shared" si="16"/>
        <v>0</v>
      </c>
      <c r="I44" s="13">
        <f t="shared" si="17"/>
        <v>0</v>
      </c>
      <c r="J44" s="13">
        <f t="shared" si="25"/>
        <v>0</v>
      </c>
      <c r="K44" s="13">
        <f t="shared" si="26"/>
        <v>0</v>
      </c>
      <c r="L44" s="13">
        <f t="shared" si="27"/>
        <v>0</v>
      </c>
      <c r="M44" s="13">
        <f t="shared" si="11"/>
        <v>0</v>
      </c>
      <c r="N44" s="18">
        <f t="shared" si="21"/>
        <v>0</v>
      </c>
      <c r="O44" s="18">
        <f t="shared" si="28"/>
        <v>0</v>
      </c>
      <c r="P44" s="22" t="str">
        <f t="shared" ref="P44" si="30">+A44</f>
        <v/>
      </c>
      <c r="Q44" s="23">
        <f t="shared" si="13"/>
        <v>0</v>
      </c>
      <c r="R44" s="23">
        <f t="shared" si="14"/>
        <v>0</v>
      </c>
      <c r="S44" s="23">
        <f t="shared" si="24"/>
        <v>0</v>
      </c>
      <c r="T44" s="24">
        <f t="shared" si="3"/>
        <v>0</v>
      </c>
      <c r="U44" s="242"/>
    </row>
    <row r="45" spans="1:22" s="5" customFormat="1" ht="18.75" thickBot="1" x14ac:dyDescent="0.45">
      <c r="A45" s="37" t="str">
        <f t="shared" si="4"/>
        <v/>
      </c>
      <c r="B45" s="38">
        <f t="shared" si="5"/>
        <v>0</v>
      </c>
      <c r="C45" s="39" t="str">
        <f t="shared" si="29"/>
        <v/>
      </c>
      <c r="D45" s="40">
        <f t="shared" si="6"/>
        <v>0</v>
      </c>
      <c r="E45" s="38">
        <f t="shared" si="7"/>
        <v>0</v>
      </c>
      <c r="F45" s="38">
        <f t="shared" si="8"/>
        <v>0</v>
      </c>
      <c r="G45" s="38">
        <f t="shared" si="15"/>
        <v>0</v>
      </c>
      <c r="H45" s="38">
        <f t="shared" si="16"/>
        <v>0</v>
      </c>
      <c r="I45" s="38">
        <f t="shared" si="17"/>
        <v>0</v>
      </c>
      <c r="J45" s="38">
        <f t="shared" si="25"/>
        <v>0</v>
      </c>
      <c r="K45" s="38">
        <f t="shared" si="26"/>
        <v>0</v>
      </c>
      <c r="L45" s="38">
        <f t="shared" si="27"/>
        <v>0</v>
      </c>
      <c r="M45" s="38">
        <f t="shared" si="11"/>
        <v>0</v>
      </c>
      <c r="N45" s="41">
        <f t="shared" si="21"/>
        <v>0</v>
      </c>
      <c r="O45" s="41">
        <f t="shared" si="28"/>
        <v>0</v>
      </c>
      <c r="P45" s="42" t="str">
        <f>+A45</f>
        <v/>
      </c>
      <c r="Q45" s="43">
        <f t="shared" si="13"/>
        <v>0</v>
      </c>
      <c r="R45" s="43">
        <f t="shared" si="14"/>
        <v>0</v>
      </c>
      <c r="S45" s="43">
        <f t="shared" si="24"/>
        <v>0</v>
      </c>
      <c r="T45" s="44">
        <f t="shared" si="3"/>
        <v>0</v>
      </c>
      <c r="U45" s="242"/>
    </row>
    <row r="46" spans="1:22" ht="18.75" thickBot="1" x14ac:dyDescent="0.45">
      <c r="A46" s="26">
        <f>MAX(A10:A45)</f>
        <v>57711</v>
      </c>
      <c r="B46" s="27">
        <f>MAX(B10:B45)</f>
        <v>34</v>
      </c>
      <c r="C46" s="27">
        <f>MAX(C10:C45)</f>
        <v>110900</v>
      </c>
      <c r="D46" s="28">
        <f>MAX(D10:D45)</f>
        <v>2.5400000000000018</v>
      </c>
      <c r="E46" s="27">
        <f>SUM(E10:E45)</f>
        <v>4147802</v>
      </c>
      <c r="F46" s="27">
        <f>SUM(F10:F45)</f>
        <v>6562302</v>
      </c>
      <c r="G46" s="27">
        <f>SUM(G9:G45)</f>
        <v>1929920</v>
      </c>
      <c r="H46" s="27">
        <f>SUM(H9:H45)</f>
        <v>1225033</v>
      </c>
      <c r="I46" s="27">
        <f>SUM(I10:I45)</f>
        <v>1574953</v>
      </c>
      <c r="J46" s="27">
        <f t="shared" ref="J46:K46" si="31">SUM(J10:J45)</f>
        <v>12035840</v>
      </c>
      <c r="K46" s="27">
        <f t="shared" si="31"/>
        <v>8443596</v>
      </c>
      <c r="L46" s="27">
        <f>SUM(L10:L45)</f>
        <v>20479436</v>
      </c>
      <c r="M46" s="27">
        <f>MAX(M10:M45)</f>
        <v>20479436</v>
      </c>
      <c r="N46" s="27">
        <f>SUM(N10:N45)</f>
        <v>17602013</v>
      </c>
      <c r="O46" s="27">
        <f t="shared" ref="O46:T46" si="32">MAX(O10:O45)</f>
        <v>21708202</v>
      </c>
      <c r="P46" s="27">
        <f t="shared" si="32"/>
        <v>57711</v>
      </c>
      <c r="Q46" s="27">
        <f t="shared" si="32"/>
        <v>145.9352438687846</v>
      </c>
      <c r="R46" s="27">
        <f t="shared" si="32"/>
        <v>44195</v>
      </c>
      <c r="S46" s="27">
        <f t="shared" si="32"/>
        <v>258225.58770160784</v>
      </c>
      <c r="T46" s="27">
        <f t="shared" si="32"/>
        <v>37684214</v>
      </c>
      <c r="U46" s="242"/>
      <c r="V46" s="1">
        <f>+T46*64%</f>
        <v>24117896.960000001</v>
      </c>
    </row>
    <row r="47" spans="1:22" x14ac:dyDescent="0.4">
      <c r="A47" s="250" t="s">
        <v>35</v>
      </c>
      <c r="B47" s="250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30"/>
      <c r="O47" s="30"/>
      <c r="P47" s="30"/>
      <c r="Q47" s="30"/>
      <c r="R47" s="30"/>
      <c r="S47" s="30"/>
      <c r="T47" s="30"/>
      <c r="U47" s="242"/>
    </row>
    <row r="48" spans="1:22" x14ac:dyDescent="0.4">
      <c r="A48" s="191" t="s">
        <v>39</v>
      </c>
      <c r="B48" s="192"/>
      <c r="C48" s="192"/>
      <c r="D48" s="192"/>
      <c r="E48" s="192"/>
      <c r="F48" s="45"/>
      <c r="G48" s="46" t="s">
        <v>57</v>
      </c>
      <c r="H48" s="45"/>
      <c r="I48" s="45"/>
      <c r="J48" s="45"/>
      <c r="K48" s="45"/>
      <c r="L48" s="45"/>
      <c r="M48" s="30"/>
      <c r="N48" s="30"/>
      <c r="O48" s="30"/>
      <c r="P48" s="30"/>
      <c r="Q48" s="30"/>
      <c r="R48" s="30"/>
      <c r="S48" s="30"/>
      <c r="T48" s="30"/>
      <c r="U48" s="242"/>
      <c r="V48" s="1">
        <f>SUM(V46:V47)</f>
        <v>24117896.960000001</v>
      </c>
    </row>
    <row r="49" spans="1:22" ht="18" customHeight="1" x14ac:dyDescent="0.4">
      <c r="A49" s="47" t="s">
        <v>36</v>
      </c>
      <c r="B49" s="193" t="s">
        <v>56</v>
      </c>
      <c r="C49" s="193"/>
      <c r="D49" s="193" t="s">
        <v>55</v>
      </c>
      <c r="E49" s="193"/>
      <c r="F49" s="45"/>
      <c r="G49" s="251" t="s">
        <v>58</v>
      </c>
      <c r="H49" s="251"/>
      <c r="I49" s="251"/>
      <c r="J49" s="251"/>
      <c r="K49" s="92"/>
      <c r="L49" s="92"/>
      <c r="M49" s="30"/>
      <c r="N49" s="30"/>
      <c r="O49" s="30"/>
      <c r="P49" s="30"/>
      <c r="Q49" s="30"/>
      <c r="R49" s="30"/>
      <c r="S49" s="30"/>
      <c r="T49" s="30"/>
      <c r="U49" s="242"/>
    </row>
    <row r="50" spans="1:22" x14ac:dyDescent="0.4">
      <c r="A50" s="47">
        <v>1</v>
      </c>
      <c r="B50" s="193" t="s">
        <v>17</v>
      </c>
      <c r="C50" s="193"/>
      <c r="D50" s="193">
        <f>+C46</f>
        <v>110900</v>
      </c>
      <c r="E50" s="193"/>
      <c r="F50" s="45"/>
      <c r="G50" s="251"/>
      <c r="H50" s="251"/>
      <c r="I50" s="251"/>
      <c r="J50" s="251"/>
      <c r="K50" s="92"/>
      <c r="L50" s="92"/>
      <c r="M50" s="30"/>
      <c r="N50" s="30"/>
      <c r="O50" s="30"/>
      <c r="P50" s="30"/>
      <c r="Q50" s="30"/>
      <c r="R50" s="30"/>
      <c r="S50" s="30"/>
      <c r="T50" s="30"/>
      <c r="U50" s="242"/>
    </row>
    <row r="51" spans="1:22" x14ac:dyDescent="0.4">
      <c r="A51" s="47">
        <v>2</v>
      </c>
      <c r="B51" s="193" t="s">
        <v>37</v>
      </c>
      <c r="C51" s="193"/>
      <c r="D51" s="193">
        <f>+D50/2</f>
        <v>55450</v>
      </c>
      <c r="E51" s="193"/>
      <c r="F51" s="45"/>
      <c r="G51" s="251"/>
      <c r="H51" s="251"/>
      <c r="I51" s="251"/>
      <c r="J51" s="251"/>
      <c r="K51" s="45"/>
      <c r="L51" s="45"/>
      <c r="M51" s="30"/>
      <c r="N51" s="30"/>
      <c r="O51" s="30"/>
      <c r="P51" s="30"/>
      <c r="Q51" s="30"/>
      <c r="R51" s="30"/>
      <c r="S51" s="30"/>
      <c r="T51" s="30"/>
      <c r="U51" s="242"/>
    </row>
    <row r="52" spans="1:22" x14ac:dyDescent="0.4">
      <c r="A52" s="47">
        <v>3</v>
      </c>
      <c r="B52" s="193" t="s">
        <v>19</v>
      </c>
      <c r="C52" s="193"/>
      <c r="D52" s="193">
        <f>ROUND(D51*D46,0)</f>
        <v>140843</v>
      </c>
      <c r="E52" s="193"/>
      <c r="F52" s="45"/>
      <c r="G52" s="251"/>
      <c r="H52" s="251"/>
      <c r="I52" s="251"/>
      <c r="J52" s="251"/>
      <c r="K52" s="45"/>
      <c r="L52" s="45"/>
      <c r="M52" s="30"/>
      <c r="N52" s="30"/>
      <c r="O52" s="30"/>
      <c r="P52" s="30"/>
      <c r="Q52" s="30"/>
      <c r="R52" s="30"/>
      <c r="S52" s="30"/>
      <c r="T52" s="30"/>
      <c r="U52" s="242"/>
      <c r="V52" s="1">
        <f>+T46/240</f>
        <v>157017.55833333332</v>
      </c>
    </row>
    <row r="53" spans="1:22" x14ac:dyDescent="0.4">
      <c r="A53" s="47">
        <v>4</v>
      </c>
      <c r="B53" s="193" t="s">
        <v>18</v>
      </c>
      <c r="C53" s="193"/>
      <c r="D53" s="193">
        <f>+D51+D52</f>
        <v>196293</v>
      </c>
      <c r="E53" s="193"/>
      <c r="F53" s="45"/>
      <c r="G53" s="251"/>
      <c r="H53" s="251"/>
      <c r="I53" s="251"/>
      <c r="J53" s="251"/>
      <c r="K53" s="45"/>
      <c r="L53" s="45"/>
      <c r="M53" s="30"/>
      <c r="N53" s="30"/>
      <c r="O53" s="30"/>
      <c r="P53" s="30"/>
      <c r="Q53" s="30"/>
      <c r="R53" s="30"/>
      <c r="S53" s="30"/>
      <c r="T53" s="30"/>
      <c r="U53" s="242"/>
    </row>
    <row r="54" spans="1:22" ht="32.25" customHeight="1" x14ac:dyDescent="0.4">
      <c r="A54" s="213" t="s">
        <v>62</v>
      </c>
      <c r="B54" s="213"/>
      <c r="C54" s="213"/>
      <c r="D54" s="213"/>
      <c r="E54" s="213"/>
      <c r="F54" s="45"/>
      <c r="G54" s="251"/>
      <c r="H54" s="251"/>
      <c r="I54" s="251"/>
      <c r="J54" s="251"/>
      <c r="K54" s="45"/>
      <c r="L54" s="45"/>
      <c r="M54" s="30"/>
      <c r="N54" s="30"/>
      <c r="O54" s="30"/>
      <c r="P54" s="30"/>
      <c r="Q54" s="30"/>
      <c r="R54" s="30"/>
      <c r="S54" s="30"/>
      <c r="T54" s="30"/>
      <c r="U54" s="242"/>
    </row>
    <row r="55" spans="1:22" x14ac:dyDescent="0.4">
      <c r="A55" s="203" t="s">
        <v>38</v>
      </c>
      <c r="B55" s="203"/>
      <c r="C55" s="203"/>
      <c r="D55" s="193">
        <f>+ROUND(D50*30%,0)</f>
        <v>33270</v>
      </c>
      <c r="E55" s="193"/>
      <c r="F55" s="45"/>
      <c r="G55" s="251"/>
      <c r="H55" s="251"/>
      <c r="I55" s="251"/>
      <c r="J55" s="251"/>
      <c r="K55" s="45"/>
      <c r="L55" s="45"/>
      <c r="M55" s="30"/>
      <c r="N55" s="30"/>
      <c r="O55" s="30"/>
      <c r="P55" s="30"/>
      <c r="Q55" s="30"/>
      <c r="R55" s="30"/>
      <c r="S55" s="30"/>
      <c r="T55" s="30"/>
      <c r="U55" s="242"/>
    </row>
    <row r="56" spans="1:22" x14ac:dyDescent="0.4">
      <c r="A56" s="203" t="s">
        <v>19</v>
      </c>
      <c r="B56" s="203"/>
      <c r="C56" s="203"/>
      <c r="D56" s="193">
        <f>ROUND(D55*D46,0)</f>
        <v>84506</v>
      </c>
      <c r="E56" s="193"/>
      <c r="F56" s="45"/>
      <c r="G56" s="251"/>
      <c r="H56" s="251"/>
      <c r="I56" s="251"/>
      <c r="J56" s="251"/>
      <c r="K56" s="45"/>
      <c r="L56" s="45"/>
      <c r="M56" s="30"/>
      <c r="N56" s="30"/>
      <c r="O56" s="30"/>
      <c r="P56" s="30"/>
      <c r="Q56" s="30"/>
      <c r="R56" s="30"/>
      <c r="S56" s="30"/>
      <c r="T56" s="30"/>
      <c r="U56" s="242"/>
    </row>
    <row r="57" spans="1:22" x14ac:dyDescent="0.4">
      <c r="A57" s="203" t="s">
        <v>21</v>
      </c>
      <c r="B57" s="203"/>
      <c r="C57" s="203"/>
      <c r="D57" s="193">
        <f>+D55+D56</f>
        <v>117776</v>
      </c>
      <c r="E57" s="193"/>
      <c r="F57" s="45"/>
      <c r="G57" s="45"/>
      <c r="H57" s="45"/>
      <c r="I57" s="45"/>
      <c r="J57" s="45"/>
      <c r="K57" s="45"/>
      <c r="L57" s="45"/>
      <c r="M57" s="30"/>
      <c r="N57" s="30"/>
      <c r="O57" s="30"/>
      <c r="P57" s="30"/>
      <c r="Q57" s="30"/>
      <c r="R57" s="30"/>
      <c r="S57" s="30"/>
      <c r="T57" s="30"/>
      <c r="U57" s="242"/>
    </row>
    <row r="58" spans="1:22" x14ac:dyDescent="0.4">
      <c r="A58" s="203"/>
      <c r="B58" s="203"/>
      <c r="C58" s="203"/>
      <c r="D58" s="193"/>
      <c r="E58" s="193"/>
      <c r="F58" s="45"/>
      <c r="G58" s="45"/>
      <c r="H58" s="45"/>
      <c r="I58" s="45"/>
      <c r="J58" s="45"/>
      <c r="K58" s="45"/>
      <c r="L58" s="45"/>
      <c r="M58" s="30"/>
      <c r="N58" s="30"/>
      <c r="O58" s="30"/>
      <c r="P58" s="30"/>
      <c r="Q58" s="30"/>
      <c r="R58" s="30"/>
      <c r="S58" s="30"/>
      <c r="T58" s="30"/>
      <c r="U58" s="242"/>
    </row>
    <row r="59" spans="1:22" ht="22.5" customHeight="1" x14ac:dyDescent="0.4">
      <c r="A59" s="253" t="s">
        <v>40</v>
      </c>
      <c r="B59" s="253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48"/>
      <c r="N59" s="30"/>
      <c r="O59" s="30"/>
      <c r="P59" s="30"/>
      <c r="Q59" s="30"/>
      <c r="R59" s="30"/>
      <c r="S59" s="30"/>
      <c r="T59" s="30"/>
      <c r="U59" s="242"/>
    </row>
    <row r="60" spans="1:22" x14ac:dyDescent="0.4">
      <c r="A60" s="204" t="s">
        <v>63</v>
      </c>
      <c r="B60" s="205"/>
      <c r="C60" s="206"/>
      <c r="D60" s="254">
        <f>+T46*40%</f>
        <v>15073685.600000001</v>
      </c>
      <c r="E60" s="255"/>
      <c r="F60" s="49">
        <f>ROUND((D60*8%)/12,0)</f>
        <v>100491</v>
      </c>
      <c r="G60" s="50"/>
      <c r="H60" s="52" t="s">
        <v>57</v>
      </c>
      <c r="I60" s="50"/>
      <c r="J60" s="50"/>
      <c r="K60" s="50"/>
      <c r="L60" s="50"/>
      <c r="M60" s="30"/>
      <c r="N60" s="30"/>
      <c r="O60" s="30"/>
      <c r="P60" s="30"/>
      <c r="Q60" s="30"/>
      <c r="R60" s="30"/>
      <c r="S60" s="30"/>
      <c r="T60" s="30"/>
      <c r="U60" s="242"/>
    </row>
    <row r="61" spans="1:22" x14ac:dyDescent="0.4">
      <c r="A61" s="208" t="s">
        <v>64</v>
      </c>
      <c r="B61" s="208"/>
      <c r="C61" s="208"/>
      <c r="D61" s="252">
        <f>+T46*60%</f>
        <v>22610528.399999999</v>
      </c>
      <c r="E61" s="252"/>
      <c r="F61" s="49">
        <f>ROUND((D61*8%)/12,0)</f>
        <v>150737</v>
      </c>
      <c r="G61" s="50"/>
      <c r="H61" s="50"/>
      <c r="I61" s="50"/>
      <c r="J61" s="50"/>
      <c r="K61" s="50"/>
      <c r="L61" s="50"/>
      <c r="M61" s="30"/>
      <c r="N61" s="30"/>
      <c r="O61" s="30"/>
      <c r="P61" s="30"/>
      <c r="Q61" s="30"/>
      <c r="R61" s="30"/>
      <c r="S61" s="30"/>
      <c r="T61" s="30"/>
      <c r="U61" s="242"/>
    </row>
    <row r="62" spans="1:22" x14ac:dyDescent="0.4">
      <c r="A62" s="208" t="s">
        <v>65</v>
      </c>
      <c r="B62" s="208"/>
      <c r="C62" s="208"/>
      <c r="D62" s="252">
        <f>SUM(D60:D61)</f>
        <v>37684214</v>
      </c>
      <c r="E62" s="252"/>
      <c r="F62" s="49">
        <f>SUM(F60:F61)</f>
        <v>251228</v>
      </c>
      <c r="G62" s="256" t="s">
        <v>61</v>
      </c>
      <c r="H62" s="256"/>
      <c r="I62" s="256"/>
      <c r="J62" s="256"/>
      <c r="K62" s="50"/>
      <c r="L62" s="50"/>
      <c r="M62" s="30"/>
      <c r="N62" s="30"/>
      <c r="O62" s="30"/>
      <c r="P62" s="30"/>
      <c r="Q62" s="30"/>
      <c r="R62" s="30"/>
      <c r="S62" s="30"/>
      <c r="T62" s="30"/>
      <c r="U62" s="242"/>
    </row>
    <row r="63" spans="1:22" x14ac:dyDescent="0.4">
      <c r="A63" s="210" t="s">
        <v>66</v>
      </c>
      <c r="B63" s="211"/>
      <c r="C63" s="211"/>
      <c r="D63" s="211"/>
      <c r="E63" s="212"/>
      <c r="F63" s="51">
        <f>+F62</f>
        <v>251228</v>
      </c>
      <c r="G63" s="256"/>
      <c r="H63" s="256"/>
      <c r="I63" s="256"/>
      <c r="J63" s="256"/>
      <c r="K63" s="50"/>
      <c r="L63" s="50"/>
      <c r="M63" s="30"/>
      <c r="N63" s="30"/>
      <c r="O63" s="30"/>
      <c r="P63" s="30"/>
      <c r="Q63" s="30"/>
      <c r="R63" s="30"/>
      <c r="S63" s="30"/>
      <c r="T63" s="30"/>
      <c r="U63" s="242"/>
    </row>
    <row r="64" spans="1:22" x14ac:dyDescent="0.4">
      <c r="A64" s="210" t="s">
        <v>67</v>
      </c>
      <c r="B64" s="211"/>
      <c r="C64" s="211"/>
      <c r="D64" s="211"/>
      <c r="E64" s="212"/>
      <c r="F64" s="51">
        <f>+F63-D53</f>
        <v>54935</v>
      </c>
      <c r="G64" s="256"/>
      <c r="H64" s="256"/>
      <c r="I64" s="256"/>
      <c r="J64" s="256"/>
      <c r="K64" s="50"/>
      <c r="L64" s="50"/>
      <c r="M64" s="30"/>
      <c r="N64" s="30"/>
      <c r="O64" s="30"/>
      <c r="P64" s="30"/>
      <c r="Q64" s="30"/>
      <c r="R64" s="30"/>
      <c r="S64" s="30"/>
      <c r="T64" s="30"/>
      <c r="U64" s="242"/>
    </row>
    <row r="65" spans="1:21" x14ac:dyDescent="0.4">
      <c r="A65" s="50"/>
      <c r="B65" s="50"/>
      <c r="C65" s="50"/>
      <c r="D65" s="50"/>
      <c r="E65" s="50"/>
      <c r="F65" s="50"/>
      <c r="G65" s="256"/>
      <c r="H65" s="256"/>
      <c r="I65" s="256"/>
      <c r="J65" s="256"/>
      <c r="K65" s="50"/>
      <c r="L65" s="50"/>
      <c r="M65" s="30"/>
      <c r="N65" s="30"/>
      <c r="O65" s="30"/>
      <c r="P65" s="30"/>
      <c r="Q65" s="30"/>
      <c r="R65" s="30"/>
      <c r="S65" s="30"/>
      <c r="T65" s="30"/>
      <c r="U65" s="242"/>
    </row>
    <row r="66" spans="1:21" x14ac:dyDescent="0.4">
      <c r="A66" s="49" t="s">
        <v>36</v>
      </c>
      <c r="B66" s="252" t="s">
        <v>56</v>
      </c>
      <c r="C66" s="252"/>
      <c r="D66" s="252" t="s">
        <v>55</v>
      </c>
      <c r="E66" s="252"/>
      <c r="F66" s="50"/>
      <c r="G66" s="256"/>
      <c r="H66" s="256"/>
      <c r="I66" s="256"/>
      <c r="J66" s="256"/>
      <c r="K66" s="50"/>
      <c r="L66" s="50"/>
      <c r="M66" s="30"/>
      <c r="N66" s="30"/>
      <c r="O66" s="30"/>
      <c r="P66" s="30"/>
      <c r="Q66" s="30"/>
      <c r="R66" s="30"/>
      <c r="S66" s="30"/>
      <c r="T66" s="30"/>
      <c r="U66" s="242"/>
    </row>
    <row r="67" spans="1:21" ht="18" customHeight="1" x14ac:dyDescent="0.4">
      <c r="A67" s="49">
        <v>1</v>
      </c>
      <c r="B67" s="252" t="s">
        <v>17</v>
      </c>
      <c r="C67" s="252"/>
      <c r="D67" s="252">
        <f>+D50</f>
        <v>110900</v>
      </c>
      <c r="E67" s="252"/>
      <c r="F67" s="50"/>
      <c r="G67" s="256"/>
      <c r="H67" s="256"/>
      <c r="I67" s="256"/>
      <c r="J67" s="256"/>
      <c r="K67" s="93"/>
      <c r="L67" s="93"/>
      <c r="M67" s="30"/>
      <c r="N67" s="30"/>
      <c r="O67" s="30"/>
      <c r="P67" s="30"/>
      <c r="Q67" s="30"/>
      <c r="R67" s="30"/>
      <c r="S67" s="30"/>
      <c r="T67" s="30"/>
      <c r="U67" s="242"/>
    </row>
    <row r="68" spans="1:21" x14ac:dyDescent="0.4">
      <c r="A68" s="49">
        <v>2</v>
      </c>
      <c r="B68" s="252" t="s">
        <v>37</v>
      </c>
      <c r="C68" s="252"/>
      <c r="D68" s="252">
        <f>+D67/2</f>
        <v>55450</v>
      </c>
      <c r="E68" s="252"/>
      <c r="F68" s="50"/>
      <c r="G68" s="93"/>
      <c r="H68" s="93"/>
      <c r="I68" s="93"/>
      <c r="J68" s="93"/>
      <c r="K68" s="93"/>
      <c r="L68" s="93"/>
      <c r="M68" s="30"/>
      <c r="N68" s="30"/>
      <c r="O68" s="30"/>
      <c r="P68" s="30"/>
      <c r="Q68" s="30"/>
      <c r="R68" s="30"/>
      <c r="S68" s="30"/>
      <c r="T68" s="30"/>
      <c r="U68" s="242"/>
    </row>
    <row r="69" spans="1:21" x14ac:dyDescent="0.4">
      <c r="A69" s="49">
        <v>3</v>
      </c>
      <c r="B69" s="252" t="s">
        <v>19</v>
      </c>
      <c r="C69" s="252"/>
      <c r="D69" s="252">
        <f>ROUND(D68*D46,0)</f>
        <v>140843</v>
      </c>
      <c r="E69" s="252"/>
      <c r="F69" s="50"/>
      <c r="G69" s="52" t="s">
        <v>59</v>
      </c>
      <c r="H69" s="50"/>
      <c r="I69" s="50"/>
      <c r="J69" s="50"/>
      <c r="K69" s="50" cm="1">
        <f t="array" ref="K69">D68/2*MIN(66, DATEDIF(H5,H6,"Y")*2 + _xlfn.IFS(DATEDIF(H5,H6,"Ym")&gt;9, 2, DATEDIF(H5,H6,"Ym")&gt;3, 1, TRUE, 0))</f>
        <v>1829850</v>
      </c>
      <c r="L69" s="50" t="s">
        <v>84</v>
      </c>
      <c r="M69" s="30"/>
      <c r="N69" s="30"/>
      <c r="O69" s="30"/>
      <c r="P69" s="30"/>
      <c r="Q69" s="30"/>
      <c r="R69" s="30"/>
      <c r="S69" s="30"/>
      <c r="T69" s="30"/>
      <c r="U69" s="242"/>
    </row>
    <row r="70" spans="1:21" x14ac:dyDescent="0.4">
      <c r="A70" s="49">
        <v>4</v>
      </c>
      <c r="B70" s="252" t="s">
        <v>38</v>
      </c>
      <c r="C70" s="252"/>
      <c r="D70" s="252">
        <f>+D68+D69</f>
        <v>196293</v>
      </c>
      <c r="E70" s="252"/>
      <c r="F70" s="50"/>
      <c r="G70" s="52" t="s">
        <v>60</v>
      </c>
      <c r="H70" s="50"/>
      <c r="I70" s="50"/>
      <c r="J70" s="50"/>
      <c r="K70" s="50"/>
      <c r="L70" s="50"/>
      <c r="M70" s="30"/>
      <c r="N70" s="30"/>
      <c r="O70" s="30"/>
      <c r="P70" s="30"/>
      <c r="Q70" s="30"/>
      <c r="R70" s="30"/>
      <c r="S70" s="30"/>
      <c r="T70" s="30"/>
      <c r="U70" s="242"/>
    </row>
    <row r="71" spans="1:21" x14ac:dyDescent="0.4">
      <c r="A71" s="258" t="s">
        <v>62</v>
      </c>
      <c r="B71" s="258"/>
      <c r="C71" s="258"/>
      <c r="D71" s="258"/>
      <c r="E71" s="258"/>
      <c r="F71" s="50"/>
      <c r="G71" s="50"/>
      <c r="H71" s="50"/>
      <c r="I71" s="50"/>
      <c r="J71" s="50"/>
      <c r="K71" s="50"/>
      <c r="L71" s="50"/>
      <c r="M71" s="30"/>
      <c r="N71" s="30"/>
      <c r="O71" s="30"/>
      <c r="P71" s="30"/>
      <c r="Q71" s="30"/>
      <c r="R71" s="30"/>
      <c r="S71" s="30"/>
      <c r="T71" s="30"/>
      <c r="U71" s="242"/>
    </row>
    <row r="72" spans="1:21" x14ac:dyDescent="0.4">
      <c r="A72" s="257" t="s">
        <v>38</v>
      </c>
      <c r="B72" s="257"/>
      <c r="C72" s="257"/>
      <c r="D72" s="252">
        <f>+ROUND(D67*30%,0)</f>
        <v>33270</v>
      </c>
      <c r="E72" s="252"/>
      <c r="F72" s="50"/>
      <c r="G72" s="50"/>
      <c r="H72" s="111">
        <f>ROUND(T46*36%,0)</f>
        <v>13566317</v>
      </c>
      <c r="I72" s="52" t="s">
        <v>81</v>
      </c>
      <c r="J72" s="50"/>
      <c r="K72" s="50"/>
      <c r="L72" s="50"/>
      <c r="M72" s="30"/>
      <c r="N72" s="30"/>
      <c r="O72" s="30"/>
      <c r="P72" s="30"/>
      <c r="Q72" s="30"/>
      <c r="R72" s="30"/>
      <c r="S72" s="30"/>
      <c r="T72" s="30"/>
      <c r="U72" s="242"/>
    </row>
    <row r="73" spans="1:21" x14ac:dyDescent="0.4">
      <c r="A73" s="257" t="s">
        <v>19</v>
      </c>
      <c r="B73" s="257"/>
      <c r="C73" s="257"/>
      <c r="D73" s="252">
        <f>ROUND(D72*D46,0)</f>
        <v>84506</v>
      </c>
      <c r="E73" s="252"/>
      <c r="F73" s="50"/>
      <c r="G73" s="50"/>
      <c r="H73" s="50"/>
      <c r="I73" s="50"/>
      <c r="J73" s="50"/>
      <c r="K73" s="50"/>
      <c r="L73" s="50"/>
      <c r="M73" s="30"/>
      <c r="N73" s="30"/>
      <c r="O73" s="30"/>
      <c r="P73" s="30"/>
      <c r="Q73" s="30"/>
      <c r="R73" s="30"/>
      <c r="S73" s="30"/>
      <c r="T73" s="30"/>
      <c r="U73" s="242"/>
    </row>
    <row r="74" spans="1:21" x14ac:dyDescent="0.4">
      <c r="A74" s="257" t="s">
        <v>21</v>
      </c>
      <c r="B74" s="257"/>
      <c r="C74" s="257"/>
      <c r="D74" s="252">
        <f>+D72+D73</f>
        <v>117776</v>
      </c>
      <c r="E74" s="252"/>
      <c r="F74" s="50"/>
      <c r="G74" s="50"/>
      <c r="H74" s="50"/>
      <c r="I74" s="50"/>
      <c r="J74" s="50"/>
      <c r="K74" s="50"/>
      <c r="L74" s="50"/>
      <c r="M74" s="30"/>
      <c r="N74" s="30"/>
      <c r="O74" s="30"/>
      <c r="P74" s="30"/>
      <c r="Q74" s="30"/>
      <c r="R74" s="30"/>
      <c r="S74" s="30"/>
      <c r="T74" s="30"/>
      <c r="U74" s="242"/>
    </row>
    <row r="75" spans="1:21" x14ac:dyDescent="0.4">
      <c r="A75" s="259" t="s">
        <v>41</v>
      </c>
      <c r="B75" s="260"/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30"/>
      <c r="N75" s="30"/>
      <c r="O75" s="30"/>
      <c r="P75" s="30"/>
      <c r="Q75" s="30"/>
      <c r="R75" s="30"/>
      <c r="S75" s="30"/>
      <c r="T75" s="30"/>
      <c r="U75" s="242"/>
    </row>
    <row r="76" spans="1:21" x14ac:dyDescent="0.4">
      <c r="A76" s="31"/>
      <c r="B76" s="5"/>
      <c r="C76" s="5"/>
      <c r="D76" s="32"/>
      <c r="E76" s="5"/>
      <c r="F76" s="34" t="s">
        <v>68</v>
      </c>
      <c r="G76" s="5"/>
      <c r="H76" s="5"/>
      <c r="I76" s="5"/>
      <c r="J76" s="34" t="s">
        <v>43</v>
      </c>
      <c r="K76" s="34"/>
      <c r="L76" s="5"/>
      <c r="M76" s="5"/>
      <c r="N76" s="30"/>
      <c r="O76" s="30"/>
      <c r="P76" s="30"/>
      <c r="Q76" s="30"/>
      <c r="R76" s="30"/>
      <c r="S76" s="30"/>
      <c r="T76" s="30"/>
      <c r="U76" s="242"/>
    </row>
    <row r="77" spans="1:21" x14ac:dyDescent="0.4">
      <c r="A77" s="53" t="s">
        <v>36</v>
      </c>
      <c r="B77" s="197" t="s">
        <v>56</v>
      </c>
      <c r="C77" s="197"/>
      <c r="D77" s="197" t="s">
        <v>55</v>
      </c>
      <c r="E77" s="197"/>
      <c r="F77" s="55"/>
      <c r="G77" s="55"/>
      <c r="H77" s="56" t="s">
        <v>69</v>
      </c>
      <c r="I77" s="53">
        <v>15</v>
      </c>
      <c r="J77" s="53">
        <v>10</v>
      </c>
      <c r="K77" s="55"/>
      <c r="L77" s="55"/>
      <c r="M77" s="30"/>
      <c r="N77" s="30"/>
      <c r="O77" s="30"/>
      <c r="P77" s="30"/>
      <c r="Q77" s="30"/>
      <c r="R77" s="30"/>
      <c r="S77" s="30"/>
      <c r="T77" s="30"/>
      <c r="U77" s="242"/>
    </row>
    <row r="78" spans="1:21" x14ac:dyDescent="0.4">
      <c r="A78" s="53">
        <v>1</v>
      </c>
      <c r="B78" s="197" t="s">
        <v>17</v>
      </c>
      <c r="C78" s="197"/>
      <c r="D78" s="197">
        <f>+D50</f>
        <v>110900</v>
      </c>
      <c r="E78" s="197"/>
      <c r="F78" s="55"/>
      <c r="G78" s="94">
        <f>+D78</f>
        <v>110900</v>
      </c>
      <c r="H78" s="55"/>
      <c r="I78" s="53">
        <f>+D78</f>
        <v>110900</v>
      </c>
      <c r="J78" s="53">
        <f>+D78</f>
        <v>110900</v>
      </c>
      <c r="K78" s="55"/>
      <c r="L78" s="55"/>
      <c r="M78" s="30"/>
      <c r="N78" s="30"/>
      <c r="O78" s="30"/>
      <c r="P78" s="30"/>
      <c r="Q78" s="30"/>
      <c r="R78" s="30"/>
      <c r="S78" s="30"/>
      <c r="T78" s="30"/>
      <c r="U78" s="242"/>
    </row>
    <row r="79" spans="1:21" x14ac:dyDescent="0.4">
      <c r="A79" s="53">
        <v>2</v>
      </c>
      <c r="B79" s="197" t="s">
        <v>37</v>
      </c>
      <c r="C79" s="197"/>
      <c r="D79" s="197">
        <f>+D78/2</f>
        <v>55450</v>
      </c>
      <c r="E79" s="197"/>
      <c r="F79" s="55"/>
      <c r="G79" s="53">
        <f>+G78/2</f>
        <v>55450</v>
      </c>
      <c r="H79" s="55"/>
      <c r="I79" s="53">
        <f>+G79*I77/20</f>
        <v>41587.5</v>
      </c>
      <c r="J79" s="53">
        <f>+G79*J77/20</f>
        <v>27725</v>
      </c>
      <c r="K79" s="55"/>
      <c r="L79" s="55"/>
      <c r="M79" s="30"/>
      <c r="N79" s="30"/>
      <c r="O79" s="30"/>
      <c r="P79" s="30"/>
      <c r="Q79" s="30"/>
      <c r="R79" s="30"/>
      <c r="S79" s="30"/>
      <c r="T79" s="30"/>
      <c r="U79" s="242"/>
    </row>
    <row r="80" spans="1:21" x14ac:dyDescent="0.4">
      <c r="A80" s="53">
        <v>3</v>
      </c>
      <c r="B80" s="197" t="s">
        <v>19</v>
      </c>
      <c r="C80" s="197"/>
      <c r="D80" s="197">
        <f>ROUND(D79*D46,0)</f>
        <v>140843</v>
      </c>
      <c r="E80" s="197"/>
      <c r="F80" s="55"/>
      <c r="G80" s="53">
        <f>G79*D46</f>
        <v>140843.00000000009</v>
      </c>
      <c r="H80" s="55"/>
      <c r="I80" s="53">
        <f>ROUND(I79*D46,0)</f>
        <v>105632</v>
      </c>
      <c r="J80" s="53">
        <f>ROUND(J79*D46,0)</f>
        <v>70422</v>
      </c>
      <c r="K80" s="55"/>
      <c r="L80" s="55"/>
      <c r="M80" s="30"/>
      <c r="N80" s="30"/>
      <c r="O80" s="30"/>
      <c r="P80" s="30"/>
      <c r="Q80" s="30"/>
      <c r="R80" s="30"/>
      <c r="S80" s="30"/>
      <c r="T80" s="30"/>
      <c r="U80" s="242"/>
    </row>
    <row r="81" spans="1:21" x14ac:dyDescent="0.4">
      <c r="A81" s="53">
        <v>4</v>
      </c>
      <c r="B81" s="197" t="s">
        <v>38</v>
      </c>
      <c r="C81" s="197"/>
      <c r="D81" s="197">
        <f>+D79+D80</f>
        <v>196293</v>
      </c>
      <c r="E81" s="197"/>
      <c r="F81" s="55"/>
      <c r="G81" s="57">
        <f>+G79+G80</f>
        <v>196293.00000000009</v>
      </c>
      <c r="H81" s="55"/>
      <c r="I81" s="57">
        <f>+I79+I80</f>
        <v>147219.5</v>
      </c>
      <c r="J81" s="57">
        <f>+J79+J80</f>
        <v>98147</v>
      </c>
      <c r="K81" s="55"/>
      <c r="L81" s="55"/>
      <c r="M81" s="30"/>
      <c r="N81" s="30"/>
      <c r="O81" s="30"/>
      <c r="P81" s="30"/>
      <c r="Q81" s="30"/>
      <c r="R81" s="30"/>
      <c r="S81" s="30"/>
      <c r="T81" s="30"/>
      <c r="U81" s="242"/>
    </row>
    <row r="82" spans="1:21" x14ac:dyDescent="0.4">
      <c r="A82" s="216" t="s">
        <v>62</v>
      </c>
      <c r="B82" s="216"/>
      <c r="C82" s="216"/>
      <c r="D82" s="216"/>
      <c r="E82" s="216"/>
      <c r="F82" s="55"/>
      <c r="G82" s="55"/>
      <c r="H82" s="55"/>
      <c r="I82" s="54" t="s">
        <v>44</v>
      </c>
      <c r="J82" s="55"/>
      <c r="K82" s="55"/>
      <c r="L82" s="55"/>
      <c r="M82" s="30"/>
      <c r="N82" s="30"/>
      <c r="O82" s="30"/>
      <c r="P82" s="30"/>
      <c r="Q82" s="30"/>
      <c r="R82" s="30"/>
      <c r="S82" s="30"/>
      <c r="T82" s="30"/>
      <c r="U82" s="242"/>
    </row>
    <row r="83" spans="1:21" x14ac:dyDescent="0.4">
      <c r="A83" s="224" t="s">
        <v>74</v>
      </c>
      <c r="B83" s="224"/>
      <c r="C83" s="224"/>
      <c r="D83" s="197">
        <f>+ROUND(D78*30%,0)</f>
        <v>33270</v>
      </c>
      <c r="E83" s="197"/>
      <c r="F83" s="55"/>
      <c r="G83" s="55"/>
      <c r="H83" s="55"/>
      <c r="I83" s="55">
        <f>(7500*D46)+7500</f>
        <v>26550.000000000015</v>
      </c>
      <c r="J83" s="55"/>
      <c r="K83" s="55"/>
      <c r="L83" s="55"/>
      <c r="M83" s="30"/>
      <c r="N83" s="30"/>
      <c r="O83" s="30"/>
      <c r="P83" s="30"/>
      <c r="Q83" s="30"/>
      <c r="R83" s="30"/>
      <c r="S83" s="30"/>
      <c r="T83" s="30"/>
      <c r="U83" s="242"/>
    </row>
    <row r="84" spans="1:21" x14ac:dyDescent="0.4">
      <c r="A84" s="224" t="s">
        <v>19</v>
      </c>
      <c r="B84" s="224"/>
      <c r="C84" s="224"/>
      <c r="D84" s="197">
        <f>ROUND(D83*D46,0)</f>
        <v>84506</v>
      </c>
      <c r="E84" s="197"/>
      <c r="F84" s="55"/>
      <c r="G84" s="112">
        <f>+D62</f>
        <v>37684214</v>
      </c>
      <c r="H84" s="54" t="s">
        <v>82</v>
      </c>
      <c r="I84" s="55"/>
      <c r="J84" s="55"/>
      <c r="K84" s="55">
        <f>+K69</f>
        <v>1829850</v>
      </c>
      <c r="L84" s="50" t="s">
        <v>84</v>
      </c>
      <c r="M84" s="30"/>
      <c r="N84" s="30"/>
      <c r="O84" s="30"/>
      <c r="P84" s="30"/>
      <c r="Q84" s="30"/>
      <c r="R84" s="30"/>
      <c r="S84" s="30"/>
      <c r="T84" s="30"/>
      <c r="U84" s="242"/>
    </row>
    <row r="85" spans="1:21" x14ac:dyDescent="0.4">
      <c r="A85" s="224" t="s">
        <v>21</v>
      </c>
      <c r="B85" s="224"/>
      <c r="C85" s="224"/>
      <c r="D85" s="197">
        <f>+D83+D84</f>
        <v>117776</v>
      </c>
      <c r="E85" s="197"/>
      <c r="F85" s="55"/>
      <c r="G85" s="55"/>
      <c r="H85" s="55"/>
      <c r="I85" s="55"/>
      <c r="J85" s="55"/>
      <c r="K85" s="55"/>
      <c r="L85" s="55"/>
      <c r="M85" s="30"/>
      <c r="N85" s="30"/>
      <c r="O85" s="30"/>
      <c r="P85" s="30"/>
      <c r="Q85" s="30"/>
      <c r="R85" s="30"/>
      <c r="S85" s="30"/>
      <c r="T85" s="30"/>
      <c r="U85" s="242"/>
    </row>
    <row r="86" spans="1:21" x14ac:dyDescent="0.4">
      <c r="A86" s="31"/>
      <c r="B86" s="5"/>
      <c r="C86" s="5"/>
      <c r="D86" s="32"/>
      <c r="E86" s="5"/>
      <c r="F86" s="5"/>
      <c r="G86" s="5"/>
      <c r="H86" s="5"/>
      <c r="I86" s="5"/>
      <c r="J86" s="5"/>
      <c r="K86" s="5"/>
      <c r="L86" s="5"/>
      <c r="M86" s="5"/>
      <c r="N86" s="30"/>
      <c r="O86" s="30"/>
      <c r="P86" s="30"/>
      <c r="Q86" s="30"/>
      <c r="R86" s="30"/>
      <c r="S86" s="30"/>
      <c r="T86" s="30"/>
      <c r="U86" s="242"/>
    </row>
    <row r="87" spans="1:21" x14ac:dyDescent="0.4">
      <c r="A87" s="263" t="s">
        <v>42</v>
      </c>
      <c r="B87" s="264"/>
      <c r="C87" s="264"/>
      <c r="D87" s="264"/>
      <c r="E87" s="264"/>
      <c r="F87" s="264"/>
      <c r="G87" s="264"/>
      <c r="H87" s="264"/>
      <c r="I87" s="264"/>
      <c r="J87" s="264"/>
      <c r="K87" s="264"/>
      <c r="L87" s="264"/>
      <c r="M87" s="30"/>
      <c r="N87" s="30"/>
      <c r="O87" s="30"/>
      <c r="P87" s="30"/>
      <c r="Q87" s="30"/>
      <c r="R87" s="30"/>
      <c r="S87" s="30"/>
      <c r="T87" s="30"/>
    </row>
    <row r="88" spans="1:21" x14ac:dyDescent="0.4">
      <c r="A88" s="265" t="s">
        <v>75</v>
      </c>
      <c r="B88" s="265"/>
      <c r="C88" s="265"/>
      <c r="D88" s="265"/>
      <c r="E88" s="265"/>
      <c r="F88" s="265"/>
      <c r="G88" s="265"/>
      <c r="H88" s="265"/>
      <c r="I88" s="265"/>
      <c r="J88" s="265"/>
      <c r="K88" s="265"/>
      <c r="L88" s="265"/>
      <c r="M88" s="30"/>
      <c r="N88" s="30"/>
      <c r="O88" s="30"/>
      <c r="P88" s="30"/>
      <c r="Q88" s="30"/>
      <c r="R88" s="30"/>
      <c r="S88" s="30"/>
      <c r="T88" s="30"/>
    </row>
    <row r="89" spans="1:21" ht="41.25" customHeight="1" x14ac:dyDescent="0.4">
      <c r="A89" s="266" t="s">
        <v>45</v>
      </c>
      <c r="B89" s="267"/>
      <c r="C89" s="267"/>
      <c r="D89" s="268"/>
      <c r="E89" s="269" t="s">
        <v>79</v>
      </c>
      <c r="F89" s="270"/>
      <c r="G89" s="270"/>
      <c r="H89" s="267" t="s">
        <v>48</v>
      </c>
      <c r="I89" s="267"/>
      <c r="J89" s="102" t="s">
        <v>52</v>
      </c>
      <c r="K89" s="103" t="s">
        <v>53</v>
      </c>
      <c r="L89" s="104" t="s">
        <v>54</v>
      </c>
      <c r="M89" s="30"/>
      <c r="N89" s="30"/>
      <c r="O89" s="30"/>
      <c r="P89" s="30"/>
      <c r="Q89" s="30"/>
      <c r="R89" s="30"/>
      <c r="S89" s="30"/>
      <c r="T89" s="30"/>
    </row>
    <row r="90" spans="1:21" x14ac:dyDescent="0.4">
      <c r="A90" s="261" t="s">
        <v>76</v>
      </c>
      <c r="B90" s="262"/>
      <c r="C90" s="262"/>
      <c r="D90" s="271"/>
      <c r="E90" s="272" t="s">
        <v>78</v>
      </c>
      <c r="F90" s="273"/>
      <c r="G90" s="273"/>
      <c r="H90" s="95"/>
      <c r="I90" s="95"/>
      <c r="J90" s="107" t="str">
        <f>+H7</f>
        <v xml:space="preserve">32 Years, 11 Months, 24 Days </v>
      </c>
      <c r="K90" s="95"/>
      <c r="L90" s="97"/>
      <c r="M90" s="30"/>
      <c r="N90" s="30"/>
      <c r="O90" s="30"/>
      <c r="P90" s="30"/>
      <c r="Q90" s="30"/>
      <c r="R90" s="30"/>
      <c r="S90" s="30"/>
      <c r="T90" s="30"/>
    </row>
    <row r="91" spans="1:21" x14ac:dyDescent="0.4">
      <c r="A91" s="261" t="s">
        <v>17</v>
      </c>
      <c r="B91" s="262"/>
      <c r="C91" s="262"/>
      <c r="D91" s="97">
        <f>+D78</f>
        <v>110900</v>
      </c>
      <c r="E91" s="105" t="s">
        <v>70</v>
      </c>
      <c r="F91" s="95">
        <f>+D91</f>
        <v>110900</v>
      </c>
      <c r="G91" s="95"/>
      <c r="H91" s="95">
        <f>+D91</f>
        <v>110900</v>
      </c>
      <c r="I91" s="95"/>
      <c r="J91" s="95">
        <f>+D91</f>
        <v>110900</v>
      </c>
      <c r="K91" s="95">
        <f>+D91</f>
        <v>110900</v>
      </c>
      <c r="L91" s="97">
        <f>+F91</f>
        <v>110900</v>
      </c>
      <c r="M91" s="30"/>
      <c r="N91" s="30"/>
      <c r="O91" s="30"/>
      <c r="P91" s="30"/>
      <c r="Q91" s="30"/>
      <c r="R91" s="30"/>
      <c r="S91" s="30"/>
      <c r="T91" s="30"/>
    </row>
    <row r="92" spans="1:21" x14ac:dyDescent="0.4">
      <c r="A92" s="261" t="s">
        <v>37</v>
      </c>
      <c r="B92" s="262"/>
      <c r="C92" s="262"/>
      <c r="D92" s="97">
        <f>+D91/2</f>
        <v>55450</v>
      </c>
      <c r="E92" s="105" t="s">
        <v>71</v>
      </c>
      <c r="F92" s="95">
        <f>+DATEDIF(H5, H6, "m")</f>
        <v>395</v>
      </c>
      <c r="G92" s="95"/>
      <c r="H92" s="95">
        <f>+H91/2</f>
        <v>55450</v>
      </c>
      <c r="I92" s="95"/>
      <c r="J92" s="95">
        <f>J91/2</f>
        <v>55450</v>
      </c>
      <c r="K92" s="95">
        <f>K91/2</f>
        <v>55450</v>
      </c>
      <c r="L92" s="97">
        <f>(F92*2)/12</f>
        <v>65.833333333333329</v>
      </c>
      <c r="M92" s="30"/>
      <c r="N92" s="30"/>
      <c r="O92" s="30"/>
      <c r="P92" s="30"/>
      <c r="Q92" s="30"/>
      <c r="R92" s="30"/>
      <c r="S92" s="30"/>
      <c r="T92" s="30"/>
    </row>
    <row r="93" spans="1:21" x14ac:dyDescent="0.4">
      <c r="A93" s="261" t="s">
        <v>19</v>
      </c>
      <c r="B93" s="262"/>
      <c r="C93" s="262"/>
      <c r="D93" s="97">
        <f>ROUND(D92*D46,0)</f>
        <v>140843</v>
      </c>
      <c r="E93" s="98" t="s">
        <v>72</v>
      </c>
      <c r="F93" s="95">
        <f>ROUND(T46*36%,0)</f>
        <v>13566317</v>
      </c>
      <c r="G93" s="106" t="s">
        <v>49</v>
      </c>
      <c r="H93" s="95">
        <f>300/300</f>
        <v>1</v>
      </c>
      <c r="I93" s="95"/>
      <c r="J93" s="95">
        <f>IF(F92&gt;300,300/300,F92/300)</f>
        <v>1</v>
      </c>
      <c r="K93" s="95">
        <f>+IF(F92&gt;300,300/300,F92/300)</f>
        <v>1</v>
      </c>
      <c r="L93" s="97"/>
      <c r="M93" s="30"/>
      <c r="N93" s="30"/>
      <c r="O93" s="30"/>
      <c r="P93" s="30"/>
      <c r="Q93" s="30"/>
      <c r="R93" s="30"/>
      <c r="S93" s="30"/>
      <c r="T93" s="30"/>
    </row>
    <row r="94" spans="1:21" x14ac:dyDescent="0.4">
      <c r="A94" s="261" t="s">
        <v>18</v>
      </c>
      <c r="B94" s="262"/>
      <c r="C94" s="262"/>
      <c r="D94" s="97">
        <f>+D92+D93</f>
        <v>196293</v>
      </c>
      <c r="E94" s="98" t="s">
        <v>73</v>
      </c>
      <c r="F94" s="95">
        <f>+F93</f>
        <v>13566317</v>
      </c>
      <c r="G94" s="108" t="s">
        <v>77</v>
      </c>
      <c r="H94" s="95">
        <f>+F93/F94</f>
        <v>1</v>
      </c>
      <c r="I94" s="95"/>
      <c r="J94" s="95">
        <f>+F93/F94</f>
        <v>1</v>
      </c>
      <c r="K94" s="95">
        <f>4000000/F94</f>
        <v>0.29484789423688096</v>
      </c>
      <c r="L94" s="97"/>
      <c r="M94" s="30"/>
      <c r="N94" s="30"/>
      <c r="O94" s="30"/>
      <c r="P94" s="30"/>
      <c r="Q94" s="30"/>
      <c r="R94" s="30"/>
      <c r="S94" s="30"/>
      <c r="T94" s="30"/>
    </row>
    <row r="95" spans="1:21" x14ac:dyDescent="0.4">
      <c r="A95" s="98"/>
      <c r="B95" s="95"/>
      <c r="C95" s="95"/>
      <c r="D95" s="97"/>
      <c r="E95" s="98" t="s">
        <v>18</v>
      </c>
      <c r="F95" s="95"/>
      <c r="G95" s="95"/>
      <c r="H95" s="95">
        <f>ROUND((H91/2)*H93*H94,0)</f>
        <v>55450</v>
      </c>
      <c r="I95" s="95"/>
      <c r="J95" s="95">
        <f>+ROUND((J92)*J93*J94,0)</f>
        <v>55450</v>
      </c>
      <c r="K95" s="95">
        <f>ROUND((K92)*K93*K94,0)</f>
        <v>16349</v>
      </c>
      <c r="L95" s="97"/>
      <c r="M95" s="30"/>
      <c r="N95" s="30"/>
      <c r="O95" s="30"/>
      <c r="P95" s="30"/>
      <c r="Q95" s="30"/>
      <c r="R95" s="30"/>
      <c r="S95" s="30"/>
      <c r="T95" s="30"/>
    </row>
    <row r="96" spans="1:21" x14ac:dyDescent="0.4">
      <c r="A96" s="98"/>
      <c r="B96" s="95"/>
      <c r="C96" s="95"/>
      <c r="D96" s="97"/>
      <c r="E96" s="98" t="s">
        <v>50</v>
      </c>
      <c r="F96" s="95"/>
      <c r="G96" s="95"/>
      <c r="H96" s="95">
        <f>ROUND(H95*D46,0)</f>
        <v>140843</v>
      </c>
      <c r="I96" s="95"/>
      <c r="J96" s="95">
        <f>ROUND(J95*D46,0)</f>
        <v>140843</v>
      </c>
      <c r="K96" s="95">
        <f>ROUND(K95*D46,0)</f>
        <v>41526</v>
      </c>
      <c r="L96" s="97">
        <f>ROUND(L91*D46,0)</f>
        <v>281686</v>
      </c>
      <c r="M96" s="30"/>
      <c r="N96" s="30"/>
      <c r="O96" s="30"/>
      <c r="P96" s="30"/>
      <c r="Q96" s="30"/>
      <c r="R96" s="30"/>
      <c r="S96" s="30"/>
      <c r="T96" s="30"/>
    </row>
    <row r="97" spans="1:20" x14ac:dyDescent="0.4">
      <c r="A97" s="274" t="s">
        <v>74</v>
      </c>
      <c r="B97" s="275"/>
      <c r="C97" s="275"/>
      <c r="D97" s="97">
        <f>ROUND(D91*30%,0)</f>
        <v>33270</v>
      </c>
      <c r="E97" s="109" t="s">
        <v>51</v>
      </c>
      <c r="F97" s="95"/>
      <c r="G97" s="95"/>
      <c r="H97" s="95">
        <f>SUM(H95:H96)</f>
        <v>196293</v>
      </c>
      <c r="I97" s="95"/>
      <c r="J97" s="95">
        <f>SUM(J95:J96)</f>
        <v>196293</v>
      </c>
      <c r="K97" s="95">
        <f>SUM(K95:K96)</f>
        <v>57875</v>
      </c>
      <c r="L97" s="97">
        <f>(L96/10)*L92</f>
        <v>1854432.833333333</v>
      </c>
      <c r="M97" s="30">
        <f>+K84</f>
        <v>1829850</v>
      </c>
      <c r="N97" s="30"/>
      <c r="O97" s="30"/>
      <c r="P97" s="30"/>
      <c r="Q97" s="30"/>
      <c r="R97" s="30"/>
      <c r="S97" s="30"/>
      <c r="T97" s="30"/>
    </row>
    <row r="98" spans="1:20" x14ac:dyDescent="0.4">
      <c r="A98" s="261" t="s">
        <v>47</v>
      </c>
      <c r="B98" s="262"/>
      <c r="C98" s="262"/>
      <c r="D98" s="97">
        <f>+ROUND(D97*D46,0)</f>
        <v>84506</v>
      </c>
      <c r="E98" s="98"/>
      <c r="F98" s="95"/>
      <c r="G98" s="95"/>
      <c r="H98" s="95"/>
      <c r="I98" s="95"/>
      <c r="J98" s="95"/>
      <c r="K98" s="95"/>
      <c r="L98" s="110" t="s">
        <v>80</v>
      </c>
      <c r="M98" s="30">
        <f>+M97-L97</f>
        <v>-24582.833333333023</v>
      </c>
      <c r="N98" s="113" t="s">
        <v>85</v>
      </c>
      <c r="O98" s="30"/>
      <c r="P98" s="30"/>
      <c r="Q98" s="30"/>
      <c r="R98" s="30"/>
      <c r="S98" s="30"/>
      <c r="T98" s="30"/>
    </row>
    <row r="99" spans="1:20" x14ac:dyDescent="0.4">
      <c r="A99" s="98"/>
      <c r="B99" s="96"/>
      <c r="C99" s="96"/>
      <c r="D99" s="97">
        <f>+D97+D98</f>
        <v>117776</v>
      </c>
      <c r="E99" s="98"/>
      <c r="F99" s="112">
        <f>+G84</f>
        <v>37684214</v>
      </c>
      <c r="G99" s="107" t="s">
        <v>82</v>
      </c>
      <c r="H99" s="95"/>
      <c r="I99" s="95"/>
      <c r="J99" s="95" t="s">
        <v>83</v>
      </c>
      <c r="K99" s="95"/>
      <c r="L99" s="97"/>
      <c r="M99" s="30"/>
      <c r="N99" s="30"/>
      <c r="O99" s="30"/>
      <c r="P99" s="30"/>
      <c r="Q99" s="30"/>
      <c r="R99" s="30"/>
      <c r="S99" s="30"/>
      <c r="T99" s="30"/>
    </row>
    <row r="100" spans="1:20" x14ac:dyDescent="0.4">
      <c r="A100" s="99"/>
      <c r="B100" s="100" t="s">
        <v>46</v>
      </c>
      <c r="C100" s="100"/>
      <c r="D100" s="101"/>
      <c r="E100" s="99"/>
      <c r="F100" s="100"/>
      <c r="G100" s="100"/>
      <c r="H100" s="100"/>
      <c r="I100" s="100"/>
      <c r="J100" s="100"/>
      <c r="K100" s="100"/>
      <c r="L100" s="101"/>
      <c r="M100" s="30"/>
      <c r="N100" s="30"/>
      <c r="O100" s="30"/>
      <c r="P100" s="30"/>
      <c r="Q100" s="30"/>
      <c r="R100" s="30"/>
      <c r="S100" s="30"/>
      <c r="T100" s="30"/>
    </row>
  </sheetData>
  <mergeCells count="87">
    <mergeCell ref="U2:U86"/>
    <mergeCell ref="D9:E9"/>
    <mergeCell ref="C7:D7"/>
    <mergeCell ref="C3:D3"/>
    <mergeCell ref="K8:L8"/>
    <mergeCell ref="H5:I5"/>
    <mergeCell ref="H6:I6"/>
    <mergeCell ref="A48:E48"/>
    <mergeCell ref="D49:E49"/>
    <mergeCell ref="D50:E50"/>
    <mergeCell ref="D51:E51"/>
    <mergeCell ref="D52:E52"/>
    <mergeCell ref="D53:E53"/>
    <mergeCell ref="B50:C50"/>
    <mergeCell ref="B51:C51"/>
    <mergeCell ref="B52:C52"/>
    <mergeCell ref="B53:C53"/>
    <mergeCell ref="B49:C49"/>
    <mergeCell ref="D60:E60"/>
    <mergeCell ref="D61:E61"/>
    <mergeCell ref="B69:C69"/>
    <mergeCell ref="D69:E69"/>
    <mergeCell ref="A60:C60"/>
    <mergeCell ref="A54:E54"/>
    <mergeCell ref="A57:C57"/>
    <mergeCell ref="A55:C55"/>
    <mergeCell ref="A56:C56"/>
    <mergeCell ref="A58:C58"/>
    <mergeCell ref="D55:E55"/>
    <mergeCell ref="D56:E56"/>
    <mergeCell ref="D57:E57"/>
    <mergeCell ref="D58:E58"/>
    <mergeCell ref="A61:C61"/>
    <mergeCell ref="A63:E63"/>
    <mergeCell ref="B66:C66"/>
    <mergeCell ref="D66:E66"/>
    <mergeCell ref="B67:C67"/>
    <mergeCell ref="D67:E67"/>
    <mergeCell ref="G62:J67"/>
    <mergeCell ref="A75:L75"/>
    <mergeCell ref="A72:C72"/>
    <mergeCell ref="D72:E72"/>
    <mergeCell ref="A73:C73"/>
    <mergeCell ref="D73:E73"/>
    <mergeCell ref="A74:C74"/>
    <mergeCell ref="D74:E74"/>
    <mergeCell ref="A71:E71"/>
    <mergeCell ref="D68:E68"/>
    <mergeCell ref="A64:E64"/>
    <mergeCell ref="B70:C70"/>
    <mergeCell ref="D70:E70"/>
    <mergeCell ref="D62:E62"/>
    <mergeCell ref="A62:C62"/>
    <mergeCell ref="B68:C68"/>
    <mergeCell ref="B77:C77"/>
    <mergeCell ref="D77:E77"/>
    <mergeCell ref="B78:C78"/>
    <mergeCell ref="D78:E78"/>
    <mergeCell ref="A84:C84"/>
    <mergeCell ref="D84:E84"/>
    <mergeCell ref="B79:C79"/>
    <mergeCell ref="D79:E79"/>
    <mergeCell ref="B80:C80"/>
    <mergeCell ref="D80:E80"/>
    <mergeCell ref="B81:C81"/>
    <mergeCell ref="D81:E81"/>
    <mergeCell ref="A92:C92"/>
    <mergeCell ref="A93:C93"/>
    <mergeCell ref="A94:C94"/>
    <mergeCell ref="A97:C97"/>
    <mergeCell ref="A98:C98"/>
    <mergeCell ref="A47:M47"/>
    <mergeCell ref="G49:J56"/>
    <mergeCell ref="A59:L59"/>
    <mergeCell ref="A89:D89"/>
    <mergeCell ref="A91:C91"/>
    <mergeCell ref="A90:D90"/>
    <mergeCell ref="H89:I89"/>
    <mergeCell ref="E89:G89"/>
    <mergeCell ref="E90:G90"/>
    <mergeCell ref="A88:L88"/>
    <mergeCell ref="A85:C85"/>
    <mergeCell ref="D85:E85"/>
    <mergeCell ref="A87:L87"/>
    <mergeCell ref="A82:E82"/>
    <mergeCell ref="A83:C83"/>
    <mergeCell ref="D83:E83"/>
  </mergeCells>
  <phoneticPr fontId="6" type="noConversion"/>
  <pageMargins left="0.31496062992125984" right="0.11811023622047245" top="0.15748031496062992" bottom="0.35433070866141736" header="0" footer="0"/>
  <pageSetup paperSize="9" orientation="landscape" r:id="rId1"/>
  <rowBreaks count="2" manualBreakCount="2">
    <brk id="46" max="16383" man="1"/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15514-FFA1-4729-AC22-FB2871A70831}">
  <dimension ref="A1:S77"/>
  <sheetViews>
    <sheetView tabSelected="1" zoomScale="160" zoomScaleNormal="160" workbookViewId="0">
      <selection activeCell="J19" sqref="J19"/>
    </sheetView>
  </sheetViews>
  <sheetFormatPr defaultRowHeight="15" x14ac:dyDescent="0.25"/>
  <cols>
    <col min="1" max="1" width="4.28515625" style="137" customWidth="1"/>
    <col min="2" max="2" width="5.7109375" style="137" customWidth="1"/>
    <col min="3" max="3" width="8.42578125" style="137" bestFit="1" customWidth="1"/>
    <col min="4" max="4" width="4.42578125" style="137" bestFit="1" customWidth="1"/>
    <col min="5" max="8" width="8.42578125" style="137" bestFit="1" customWidth="1"/>
    <col min="9" max="9" width="8.7109375" style="137" customWidth="1"/>
    <col min="10" max="10" width="12" style="137" bestFit="1" customWidth="1"/>
    <col min="11" max="11" width="9" style="137" bestFit="1" customWidth="1"/>
    <col min="12" max="12" width="9.5703125" style="137" bestFit="1" customWidth="1"/>
    <col min="13" max="13" width="10.140625" style="137" customWidth="1"/>
    <col min="14" max="14" width="12" style="137" bestFit="1" customWidth="1"/>
    <col min="15" max="15" width="10.28515625" style="137" bestFit="1" customWidth="1"/>
    <col min="16" max="16" width="9.28515625" style="137" bestFit="1" customWidth="1"/>
    <col min="17" max="17" width="10.85546875" style="137" bestFit="1" customWidth="1"/>
    <col min="18" max="18" width="12" style="137" bestFit="1" customWidth="1"/>
    <col min="19" max="16384" width="9.140625" style="137"/>
  </cols>
  <sheetData>
    <row r="1" spans="1:18" ht="15" customHeight="1" x14ac:dyDescent="0.25">
      <c r="A1" s="189" t="s">
        <v>167</v>
      </c>
      <c r="B1" s="189" t="s">
        <v>168</v>
      </c>
      <c r="C1" s="189" t="s">
        <v>169</v>
      </c>
      <c r="D1" s="160" t="s">
        <v>172</v>
      </c>
      <c r="E1" s="189" t="s">
        <v>170</v>
      </c>
      <c r="F1" s="189" t="s">
        <v>171</v>
      </c>
      <c r="G1" s="189">
        <v>0.1</v>
      </c>
      <c r="H1" s="189">
        <v>0.14000000000000001</v>
      </c>
      <c r="I1" s="189" t="s">
        <v>173</v>
      </c>
      <c r="J1" s="189" t="s">
        <v>192</v>
      </c>
      <c r="K1" s="189" t="s">
        <v>199</v>
      </c>
      <c r="L1" s="189" t="s">
        <v>179</v>
      </c>
      <c r="M1" s="156" t="s">
        <v>180</v>
      </c>
      <c r="N1" s="189" t="s">
        <v>7</v>
      </c>
      <c r="O1" s="156" t="s">
        <v>8</v>
      </c>
      <c r="P1" s="189" t="s">
        <v>10</v>
      </c>
      <c r="Q1" s="189" t="s">
        <v>16</v>
      </c>
      <c r="R1" s="189" t="s">
        <v>33</v>
      </c>
    </row>
    <row r="2" spans="1:18" ht="9.75" customHeight="1" thickBot="1" x14ac:dyDescent="0.3">
      <c r="A2" s="190"/>
      <c r="B2" s="190"/>
      <c r="C2" s="190"/>
      <c r="D2" s="157">
        <v>10</v>
      </c>
      <c r="E2" s="190"/>
      <c r="F2" s="190"/>
      <c r="G2" s="190"/>
      <c r="H2" s="190"/>
      <c r="I2" s="190"/>
      <c r="J2" s="190"/>
      <c r="K2" s="190"/>
      <c r="L2" s="190"/>
      <c r="M2" s="158">
        <v>0.04</v>
      </c>
      <c r="N2" s="190"/>
      <c r="O2" s="159">
        <v>1.06</v>
      </c>
      <c r="P2" s="190"/>
      <c r="Q2" s="190"/>
      <c r="R2" s="190"/>
    </row>
    <row r="3" spans="1:18" ht="15.75" x14ac:dyDescent="0.25">
      <c r="A3" s="202" t="s">
        <v>175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152">
        <f>811709+300000</f>
        <v>1111709</v>
      </c>
      <c r="P3" s="153">
        <f>ROUND(O3*36%,0)</f>
        <v>400215</v>
      </c>
      <c r="Q3" s="153">
        <f>ROUND(O3*64%,0)</f>
        <v>711494</v>
      </c>
      <c r="R3" s="154"/>
    </row>
    <row r="4" spans="1:18" x14ac:dyDescent="0.25">
      <c r="A4" s="148">
        <v>1</v>
      </c>
      <c r="B4" s="148">
        <v>2026</v>
      </c>
      <c r="C4" s="148">
        <v>23100</v>
      </c>
      <c r="D4" s="148">
        <v>58</v>
      </c>
      <c r="E4" s="148">
        <f>+ROUND(C4*D4/100,0)</f>
        <v>13398</v>
      </c>
      <c r="F4" s="149">
        <f>+C4+E4</f>
        <v>36498</v>
      </c>
      <c r="G4" s="148">
        <f>ROUND(F4*0.1,0)</f>
        <v>3650</v>
      </c>
      <c r="H4" s="148">
        <f>ROUND(F4*0.14,0)</f>
        <v>5110</v>
      </c>
      <c r="I4" s="148">
        <f>+G4+H4</f>
        <v>8760</v>
      </c>
      <c r="J4" s="148">
        <f>(G4*12)+P3</f>
        <v>444015</v>
      </c>
      <c r="K4" s="148">
        <f>(+H4*12)+Q3</f>
        <v>772814</v>
      </c>
      <c r="L4" s="148">
        <f>+J4+K4</f>
        <v>1216829</v>
      </c>
      <c r="M4" s="148">
        <f>ROUND(L4*$M$2,0)</f>
        <v>48673</v>
      </c>
      <c r="N4" s="148">
        <f>+L4+M4</f>
        <v>1265502</v>
      </c>
      <c r="O4" s="150">
        <v>40</v>
      </c>
      <c r="P4" s="150">
        <f>+L4/O4</f>
        <v>30420.724999999999</v>
      </c>
      <c r="Q4" s="150">
        <f>+P4</f>
        <v>30420.724999999999</v>
      </c>
      <c r="R4" s="151">
        <f>+Q4*O4</f>
        <v>1216829</v>
      </c>
    </row>
    <row r="5" spans="1:18" x14ac:dyDescent="0.25">
      <c r="A5" s="140">
        <v>2</v>
      </c>
      <c r="B5" s="140">
        <v>2027</v>
      </c>
      <c r="C5" s="141">
        <f>+IF(CEILING(C4*3%,100)-ROUND(C4*3%,0)&lt;=50,CEILING(C4*3%,100),CEILING(C4*3%,100)-100)+C4</f>
        <v>23800</v>
      </c>
      <c r="D5" s="141">
        <f>+D4+$D$2</f>
        <v>68</v>
      </c>
      <c r="E5" s="140">
        <f>+ROUND(C5*D5/100,0)</f>
        <v>16184</v>
      </c>
      <c r="F5" s="140">
        <f>C5+E5</f>
        <v>39984</v>
      </c>
      <c r="G5" s="140">
        <f>ROUND(F5*0.1,0)</f>
        <v>3998</v>
      </c>
      <c r="H5" s="140">
        <f>ROUND(F5*0.14,0)</f>
        <v>5598</v>
      </c>
      <c r="I5" s="140">
        <f t="shared" ref="I5:I36" si="0">+G5+H5</f>
        <v>9596</v>
      </c>
      <c r="J5" s="140">
        <f t="shared" ref="J5:J36" si="1">+G5*12</f>
        <v>47976</v>
      </c>
      <c r="K5" s="140">
        <f t="shared" ref="K5:K36" si="2">+H5*12</f>
        <v>67176</v>
      </c>
      <c r="L5" s="140">
        <f>+J5+K5</f>
        <v>115152</v>
      </c>
      <c r="M5" s="148">
        <f>ROUND((L5+N4)*$M$2,0)</f>
        <v>55226</v>
      </c>
      <c r="N5" s="140">
        <f>+L5+N4+M5</f>
        <v>1435880</v>
      </c>
      <c r="O5" s="144">
        <f>+O4*$O$2</f>
        <v>42.400000000000006</v>
      </c>
      <c r="P5" s="144">
        <f>+L5/O5</f>
        <v>2715.8490566037731</v>
      </c>
      <c r="Q5" s="144">
        <f>+Q4+P5</f>
        <v>33136.574056603771</v>
      </c>
      <c r="R5" s="145">
        <f>+Q5*O5</f>
        <v>1404990.74</v>
      </c>
    </row>
    <row r="6" spans="1:18" x14ac:dyDescent="0.25">
      <c r="A6" s="140">
        <v>3</v>
      </c>
      <c r="B6" s="140">
        <v>2028</v>
      </c>
      <c r="C6" s="141">
        <f>+IF(CEILING(C5*3%,100)-ROUND(C5*3%,0)&lt;=50,CEILING(C5*3%,100),CEILING(C5*3%,100)-100)+C5</f>
        <v>24500</v>
      </c>
      <c r="D6" s="141">
        <f t="shared" ref="D6:D36" si="3">+D5+$D$2</f>
        <v>78</v>
      </c>
      <c r="E6" s="140">
        <f t="shared" ref="E6:E36" si="4">+ROUND(C6*D6/100,0)</f>
        <v>19110</v>
      </c>
      <c r="F6" s="140">
        <f t="shared" ref="F6:F36" si="5">C6+E6</f>
        <v>43610</v>
      </c>
      <c r="G6" s="140">
        <f t="shared" ref="G6:G36" si="6">ROUND(F6*0.1,0)</f>
        <v>4361</v>
      </c>
      <c r="H6" s="140">
        <f t="shared" ref="H6:H36" si="7">ROUND(F6*0.14,0)</f>
        <v>6105</v>
      </c>
      <c r="I6" s="140">
        <f t="shared" si="0"/>
        <v>10466</v>
      </c>
      <c r="J6" s="140">
        <f t="shared" si="1"/>
        <v>52332</v>
      </c>
      <c r="K6" s="140">
        <f t="shared" si="2"/>
        <v>73260</v>
      </c>
      <c r="L6" s="140">
        <f>+J6+K6</f>
        <v>125592</v>
      </c>
      <c r="M6" s="148">
        <f>ROUND((L6+N5)*$M$2,0)</f>
        <v>62459</v>
      </c>
      <c r="N6" s="140">
        <f t="shared" ref="N6:N7" si="8">+L6+N5+M6</f>
        <v>1623931</v>
      </c>
      <c r="O6" s="144">
        <f>+O5*$O$2</f>
        <v>44.94400000000001</v>
      </c>
      <c r="P6" s="144">
        <f t="shared" ref="P6:P35" si="9">+L6/O6</f>
        <v>2794.41082235671</v>
      </c>
      <c r="Q6" s="144">
        <f t="shared" ref="Q6:Q35" si="10">+Q5+P6</f>
        <v>35930.98487896048</v>
      </c>
      <c r="R6" s="145">
        <f t="shared" ref="R6:R35" si="11">+Q6*O6</f>
        <v>1614882.1844000001</v>
      </c>
    </row>
    <row r="7" spans="1:18" x14ac:dyDescent="0.25">
      <c r="A7" s="140">
        <v>4</v>
      </c>
      <c r="B7" s="140">
        <v>2029</v>
      </c>
      <c r="C7" s="141">
        <f>+IF(CEILING(C6*3%,100)-ROUND(C6*3%,0)&lt;=50,CEILING(C6*3%,100),CEILING(C6*3%,100)-100)+C6</f>
        <v>25200</v>
      </c>
      <c r="D7" s="141">
        <f t="shared" si="3"/>
        <v>88</v>
      </c>
      <c r="E7" s="140">
        <f>+ROUND(C7*D7/100,0)</f>
        <v>22176</v>
      </c>
      <c r="F7" s="140">
        <f>C7+E7</f>
        <v>47376</v>
      </c>
      <c r="G7" s="140">
        <f t="shared" si="6"/>
        <v>4738</v>
      </c>
      <c r="H7" s="140">
        <f t="shared" si="7"/>
        <v>6633</v>
      </c>
      <c r="I7" s="140">
        <f t="shared" si="0"/>
        <v>11371</v>
      </c>
      <c r="J7" s="140">
        <f t="shared" si="1"/>
        <v>56856</v>
      </c>
      <c r="K7" s="140">
        <f t="shared" si="2"/>
        <v>79596</v>
      </c>
      <c r="L7" s="140">
        <f t="shared" ref="L7:L36" si="12">+J7+K7</f>
        <v>136452</v>
      </c>
      <c r="M7" s="148">
        <f t="shared" ref="M7:M36" si="13">ROUND((L7+N6)*$M$2,0)</f>
        <v>70415</v>
      </c>
      <c r="N7" s="140">
        <f t="shared" si="8"/>
        <v>1830798</v>
      </c>
      <c r="O7" s="144">
        <f t="shared" ref="O7:O36" si="14">+O6*$O$2</f>
        <v>47.640640000000012</v>
      </c>
      <c r="P7" s="144">
        <f t="shared" si="9"/>
        <v>2864.1932602080906</v>
      </c>
      <c r="Q7" s="144">
        <f t="shared" si="10"/>
        <v>38795.178139168573</v>
      </c>
      <c r="R7" s="145">
        <f t="shared" si="11"/>
        <v>1848227.1154640003</v>
      </c>
    </row>
    <row r="8" spans="1:18" x14ac:dyDescent="0.25">
      <c r="A8" s="140">
        <v>5</v>
      </c>
      <c r="B8" s="140">
        <v>2030</v>
      </c>
      <c r="C8" s="141">
        <f t="shared" ref="C8:C36" si="15">+IF(CEILING(C7*3%,100)-ROUND(C7*3%,0)&lt;=50,CEILING(C7*3%,100),CEILING(C7*3%,100)-100)+C7</f>
        <v>26000</v>
      </c>
      <c r="D8" s="141">
        <f t="shared" si="3"/>
        <v>98</v>
      </c>
      <c r="E8" s="140">
        <f t="shared" si="4"/>
        <v>25480</v>
      </c>
      <c r="F8" s="140">
        <f t="shared" si="5"/>
        <v>51480</v>
      </c>
      <c r="G8" s="140">
        <f t="shared" si="6"/>
        <v>5148</v>
      </c>
      <c r="H8" s="140">
        <f t="shared" si="7"/>
        <v>7207</v>
      </c>
      <c r="I8" s="140">
        <f t="shared" si="0"/>
        <v>12355</v>
      </c>
      <c r="J8" s="140">
        <f t="shared" si="1"/>
        <v>61776</v>
      </c>
      <c r="K8" s="140">
        <f t="shared" si="2"/>
        <v>86484</v>
      </c>
      <c r="L8" s="140">
        <f t="shared" si="12"/>
        <v>148260</v>
      </c>
      <c r="M8" s="148">
        <f t="shared" si="13"/>
        <v>79162</v>
      </c>
      <c r="N8" s="140">
        <f>+L8+N7+M8</f>
        <v>2058220</v>
      </c>
      <c r="O8" s="144">
        <f t="shared" si="14"/>
        <v>50.499078400000016</v>
      </c>
      <c r="P8" s="144">
        <f t="shared" si="9"/>
        <v>2935.8951627917222</v>
      </c>
      <c r="Q8" s="144">
        <f t="shared" si="10"/>
        <v>41731.073301960292</v>
      </c>
      <c r="R8" s="145">
        <f t="shared" si="11"/>
        <v>2107380.7423918406</v>
      </c>
    </row>
    <row r="9" spans="1:18" x14ac:dyDescent="0.25">
      <c r="A9" s="140">
        <v>6</v>
      </c>
      <c r="B9" s="140">
        <v>2031</v>
      </c>
      <c r="C9" s="141">
        <f t="shared" si="15"/>
        <v>26800</v>
      </c>
      <c r="D9" s="141">
        <f t="shared" si="3"/>
        <v>108</v>
      </c>
      <c r="E9" s="140">
        <f t="shared" si="4"/>
        <v>28944</v>
      </c>
      <c r="F9" s="140">
        <f t="shared" si="5"/>
        <v>55744</v>
      </c>
      <c r="G9" s="140">
        <f t="shared" si="6"/>
        <v>5574</v>
      </c>
      <c r="H9" s="140">
        <f t="shared" si="7"/>
        <v>7804</v>
      </c>
      <c r="I9" s="140">
        <f t="shared" si="0"/>
        <v>13378</v>
      </c>
      <c r="J9" s="140">
        <f t="shared" si="1"/>
        <v>66888</v>
      </c>
      <c r="K9" s="140">
        <f t="shared" si="2"/>
        <v>93648</v>
      </c>
      <c r="L9" s="140">
        <f t="shared" si="12"/>
        <v>160536</v>
      </c>
      <c r="M9" s="148">
        <f t="shared" si="13"/>
        <v>88750</v>
      </c>
      <c r="N9" s="140">
        <f t="shared" ref="N9:N36" si="16">+L9+N8+M9</f>
        <v>2307506</v>
      </c>
      <c r="O9" s="144">
        <f>+O8*$O$2</f>
        <v>53.529023104000018</v>
      </c>
      <c r="P9" s="144">
        <f t="shared" si="9"/>
        <v>2999.0459509806328</v>
      </c>
      <c r="Q9" s="144">
        <f t="shared" si="10"/>
        <v>44730.119252940924</v>
      </c>
      <c r="R9" s="145">
        <f>+Q9*O9</f>
        <v>2394359.5869353507</v>
      </c>
    </row>
    <row r="10" spans="1:18" x14ac:dyDescent="0.25">
      <c r="A10" s="140">
        <v>7</v>
      </c>
      <c r="B10" s="140">
        <v>2032</v>
      </c>
      <c r="C10" s="141">
        <f t="shared" si="15"/>
        <v>27600</v>
      </c>
      <c r="D10" s="141">
        <f t="shared" si="3"/>
        <v>118</v>
      </c>
      <c r="E10" s="140">
        <f t="shared" si="4"/>
        <v>32568</v>
      </c>
      <c r="F10" s="140">
        <f t="shared" si="5"/>
        <v>60168</v>
      </c>
      <c r="G10" s="140">
        <f t="shared" si="6"/>
        <v>6017</v>
      </c>
      <c r="H10" s="140">
        <f t="shared" si="7"/>
        <v>8424</v>
      </c>
      <c r="I10" s="140">
        <f t="shared" si="0"/>
        <v>14441</v>
      </c>
      <c r="J10" s="140">
        <f t="shared" si="1"/>
        <v>72204</v>
      </c>
      <c r="K10" s="140">
        <f t="shared" si="2"/>
        <v>101088</v>
      </c>
      <c r="L10" s="140">
        <f t="shared" si="12"/>
        <v>173292</v>
      </c>
      <c r="M10" s="148">
        <f t="shared" si="13"/>
        <v>99232</v>
      </c>
      <c r="N10" s="140">
        <f t="shared" si="16"/>
        <v>2580030</v>
      </c>
      <c r="O10" s="144">
        <f t="shared" si="14"/>
        <v>56.740764490240025</v>
      </c>
      <c r="P10" s="144">
        <f t="shared" si="9"/>
        <v>3054.1005493468097</v>
      </c>
      <c r="Q10" s="144">
        <f t="shared" si="10"/>
        <v>47784.219802287735</v>
      </c>
      <c r="R10" s="145">
        <f t="shared" si="11"/>
        <v>2711313.1621514722</v>
      </c>
    </row>
    <row r="11" spans="1:18" x14ac:dyDescent="0.25">
      <c r="A11" s="140">
        <v>8</v>
      </c>
      <c r="B11" s="140">
        <v>2033</v>
      </c>
      <c r="C11" s="141">
        <f t="shared" si="15"/>
        <v>28400</v>
      </c>
      <c r="D11" s="141">
        <f t="shared" si="3"/>
        <v>128</v>
      </c>
      <c r="E11" s="140">
        <f t="shared" si="4"/>
        <v>36352</v>
      </c>
      <c r="F11" s="140">
        <f t="shared" si="5"/>
        <v>64752</v>
      </c>
      <c r="G11" s="140">
        <f t="shared" si="6"/>
        <v>6475</v>
      </c>
      <c r="H11" s="140">
        <f t="shared" si="7"/>
        <v>9065</v>
      </c>
      <c r="I11" s="140">
        <f t="shared" si="0"/>
        <v>15540</v>
      </c>
      <c r="J11" s="140">
        <f t="shared" si="1"/>
        <v>77700</v>
      </c>
      <c r="K11" s="140">
        <f t="shared" si="2"/>
        <v>108780</v>
      </c>
      <c r="L11" s="140">
        <f t="shared" si="12"/>
        <v>186480</v>
      </c>
      <c r="M11" s="148">
        <f t="shared" si="13"/>
        <v>110660</v>
      </c>
      <c r="N11" s="140">
        <f t="shared" si="16"/>
        <v>2877170</v>
      </c>
      <c r="O11" s="144">
        <f t="shared" si="14"/>
        <v>60.145210359654428</v>
      </c>
      <c r="P11" s="144">
        <f t="shared" si="9"/>
        <v>3100.4962637073309</v>
      </c>
      <c r="Q11" s="144">
        <f t="shared" si="10"/>
        <v>50884.716065995068</v>
      </c>
      <c r="R11" s="145">
        <f t="shared" si="11"/>
        <v>3060471.9518805607</v>
      </c>
    </row>
    <row r="12" spans="1:18" x14ac:dyDescent="0.25">
      <c r="A12" s="140">
        <v>9</v>
      </c>
      <c r="B12" s="140">
        <v>2034</v>
      </c>
      <c r="C12" s="141">
        <f t="shared" si="15"/>
        <v>29300</v>
      </c>
      <c r="D12" s="141">
        <f t="shared" si="3"/>
        <v>138</v>
      </c>
      <c r="E12" s="140">
        <f t="shared" si="4"/>
        <v>40434</v>
      </c>
      <c r="F12" s="140">
        <f t="shared" si="5"/>
        <v>69734</v>
      </c>
      <c r="G12" s="140">
        <f t="shared" si="6"/>
        <v>6973</v>
      </c>
      <c r="H12" s="140">
        <f t="shared" si="7"/>
        <v>9763</v>
      </c>
      <c r="I12" s="140">
        <f t="shared" si="0"/>
        <v>16736</v>
      </c>
      <c r="J12" s="140">
        <f t="shared" si="1"/>
        <v>83676</v>
      </c>
      <c r="K12" s="140">
        <f t="shared" si="2"/>
        <v>117156</v>
      </c>
      <c r="L12" s="140">
        <f t="shared" si="12"/>
        <v>200832</v>
      </c>
      <c r="M12" s="148">
        <f t="shared" si="13"/>
        <v>123120</v>
      </c>
      <c r="N12" s="140">
        <f t="shared" si="16"/>
        <v>3201122</v>
      </c>
      <c r="O12" s="144">
        <f t="shared" si="14"/>
        <v>63.7539229812337</v>
      </c>
      <c r="P12" s="144">
        <f t="shared" si="9"/>
        <v>3150.1120340330422</v>
      </c>
      <c r="Q12" s="144">
        <f t="shared" si="10"/>
        <v>54034.828100028113</v>
      </c>
      <c r="R12" s="145">
        <f t="shared" si="11"/>
        <v>3444932.2689933949</v>
      </c>
    </row>
    <row r="13" spans="1:18" x14ac:dyDescent="0.25">
      <c r="A13" s="140">
        <v>10</v>
      </c>
      <c r="B13" s="140">
        <v>2035</v>
      </c>
      <c r="C13" s="141">
        <f t="shared" si="15"/>
        <v>30200</v>
      </c>
      <c r="D13" s="141">
        <f t="shared" si="3"/>
        <v>148</v>
      </c>
      <c r="E13" s="140">
        <f t="shared" si="4"/>
        <v>44696</v>
      </c>
      <c r="F13" s="140">
        <f t="shared" si="5"/>
        <v>74896</v>
      </c>
      <c r="G13" s="140">
        <f t="shared" si="6"/>
        <v>7490</v>
      </c>
      <c r="H13" s="140">
        <f t="shared" si="7"/>
        <v>10485</v>
      </c>
      <c r="I13" s="140">
        <f t="shared" si="0"/>
        <v>17975</v>
      </c>
      <c r="J13" s="140">
        <f t="shared" si="1"/>
        <v>89880</v>
      </c>
      <c r="K13" s="140">
        <f t="shared" si="2"/>
        <v>125820</v>
      </c>
      <c r="L13" s="140">
        <f t="shared" si="12"/>
        <v>215700</v>
      </c>
      <c r="M13" s="148">
        <f t="shared" si="13"/>
        <v>136673</v>
      </c>
      <c r="N13" s="140">
        <f t="shared" si="16"/>
        <v>3553495</v>
      </c>
      <c r="O13" s="144">
        <f t="shared" si="14"/>
        <v>67.579158360107726</v>
      </c>
      <c r="P13" s="144">
        <f t="shared" si="9"/>
        <v>3191.8124645856592</v>
      </c>
      <c r="Q13" s="144">
        <f t="shared" si="10"/>
        <v>57226.640564613772</v>
      </c>
      <c r="R13" s="145">
        <f t="shared" si="11"/>
        <v>3867328.2051329985</v>
      </c>
    </row>
    <row r="14" spans="1:18" x14ac:dyDescent="0.25">
      <c r="A14" s="140">
        <v>11</v>
      </c>
      <c r="B14" s="140">
        <v>2036</v>
      </c>
      <c r="C14" s="141">
        <f t="shared" si="15"/>
        <v>31100</v>
      </c>
      <c r="D14" s="141">
        <f t="shared" si="3"/>
        <v>158</v>
      </c>
      <c r="E14" s="140">
        <f t="shared" si="4"/>
        <v>49138</v>
      </c>
      <c r="F14" s="140">
        <f t="shared" si="5"/>
        <v>80238</v>
      </c>
      <c r="G14" s="140">
        <f t="shared" si="6"/>
        <v>8024</v>
      </c>
      <c r="H14" s="140">
        <f t="shared" si="7"/>
        <v>11233</v>
      </c>
      <c r="I14" s="140">
        <f t="shared" si="0"/>
        <v>19257</v>
      </c>
      <c r="J14" s="140">
        <f t="shared" si="1"/>
        <v>96288</v>
      </c>
      <c r="K14" s="140">
        <f t="shared" si="2"/>
        <v>134796</v>
      </c>
      <c r="L14" s="140">
        <f t="shared" si="12"/>
        <v>231084</v>
      </c>
      <c r="M14" s="148">
        <f t="shared" si="13"/>
        <v>151383</v>
      </c>
      <c r="N14" s="140">
        <f t="shared" si="16"/>
        <v>3935962</v>
      </c>
      <c r="O14" s="144">
        <f t="shared" si="14"/>
        <v>71.633907861714192</v>
      </c>
      <c r="P14" s="144">
        <f t="shared" si="9"/>
        <v>3225.9024657163272</v>
      </c>
      <c r="Q14" s="144">
        <f t="shared" si="10"/>
        <v>60452.543030330096</v>
      </c>
      <c r="R14" s="145">
        <f t="shared" si="11"/>
        <v>4330451.8974409783</v>
      </c>
    </row>
    <row r="15" spans="1:18" x14ac:dyDescent="0.25">
      <c r="A15" s="140">
        <v>12</v>
      </c>
      <c r="B15" s="140">
        <v>2037</v>
      </c>
      <c r="C15" s="141">
        <f t="shared" si="15"/>
        <v>32000</v>
      </c>
      <c r="D15" s="141">
        <f t="shared" si="3"/>
        <v>168</v>
      </c>
      <c r="E15" s="140">
        <f t="shared" si="4"/>
        <v>53760</v>
      </c>
      <c r="F15" s="140">
        <f t="shared" si="5"/>
        <v>85760</v>
      </c>
      <c r="G15" s="140">
        <f t="shared" si="6"/>
        <v>8576</v>
      </c>
      <c r="H15" s="140">
        <f t="shared" si="7"/>
        <v>12006</v>
      </c>
      <c r="I15" s="140">
        <f t="shared" si="0"/>
        <v>20582</v>
      </c>
      <c r="J15" s="140">
        <f t="shared" si="1"/>
        <v>102912</v>
      </c>
      <c r="K15" s="140">
        <f t="shared" si="2"/>
        <v>144072</v>
      </c>
      <c r="L15" s="140">
        <f t="shared" si="12"/>
        <v>246984</v>
      </c>
      <c r="M15" s="148">
        <f t="shared" si="13"/>
        <v>167318</v>
      </c>
      <c r="N15" s="140">
        <f t="shared" si="16"/>
        <v>4350264</v>
      </c>
      <c r="O15" s="144">
        <f t="shared" si="14"/>
        <v>75.931942333417041</v>
      </c>
      <c r="P15" s="144">
        <f t="shared" si="9"/>
        <v>3252.7022542831005</v>
      </c>
      <c r="Q15" s="144">
        <f t="shared" si="10"/>
        <v>63705.2452846132</v>
      </c>
      <c r="R15" s="145">
        <f t="shared" si="11"/>
        <v>4837263.0112874378</v>
      </c>
    </row>
    <row r="16" spans="1:18" x14ac:dyDescent="0.25">
      <c r="A16" s="140">
        <v>13</v>
      </c>
      <c r="B16" s="140">
        <v>2038</v>
      </c>
      <c r="C16" s="141">
        <f t="shared" si="15"/>
        <v>33000</v>
      </c>
      <c r="D16" s="141">
        <f t="shared" si="3"/>
        <v>178</v>
      </c>
      <c r="E16" s="140">
        <f t="shared" si="4"/>
        <v>58740</v>
      </c>
      <c r="F16" s="140">
        <f t="shared" si="5"/>
        <v>91740</v>
      </c>
      <c r="G16" s="140">
        <f t="shared" si="6"/>
        <v>9174</v>
      </c>
      <c r="H16" s="140">
        <f t="shared" si="7"/>
        <v>12844</v>
      </c>
      <c r="I16" s="140">
        <f t="shared" si="0"/>
        <v>22018</v>
      </c>
      <c r="J16" s="140">
        <f t="shared" si="1"/>
        <v>110088</v>
      </c>
      <c r="K16" s="140">
        <f t="shared" si="2"/>
        <v>154128</v>
      </c>
      <c r="L16" s="140">
        <f t="shared" si="12"/>
        <v>264216</v>
      </c>
      <c r="M16" s="148">
        <f t="shared" si="13"/>
        <v>184579</v>
      </c>
      <c r="N16" s="140">
        <f t="shared" si="16"/>
        <v>4799059</v>
      </c>
      <c r="O16" s="144">
        <f t="shared" si="14"/>
        <v>80.48785887342207</v>
      </c>
      <c r="P16" s="144">
        <f t="shared" si="9"/>
        <v>3282.6814341715194</v>
      </c>
      <c r="Q16" s="144">
        <f t="shared" si="10"/>
        <v>66987.926718784714</v>
      </c>
      <c r="R16" s="145">
        <f t="shared" si="11"/>
        <v>5391714.7919646837</v>
      </c>
    </row>
    <row r="17" spans="1:18" x14ac:dyDescent="0.25">
      <c r="A17" s="140">
        <v>14</v>
      </c>
      <c r="B17" s="140">
        <v>2039</v>
      </c>
      <c r="C17" s="141">
        <f t="shared" si="15"/>
        <v>34000</v>
      </c>
      <c r="D17" s="141">
        <f t="shared" si="3"/>
        <v>188</v>
      </c>
      <c r="E17" s="140">
        <f t="shared" si="4"/>
        <v>63920</v>
      </c>
      <c r="F17" s="140">
        <f t="shared" si="5"/>
        <v>97920</v>
      </c>
      <c r="G17" s="140">
        <f t="shared" si="6"/>
        <v>9792</v>
      </c>
      <c r="H17" s="140">
        <f t="shared" si="7"/>
        <v>13709</v>
      </c>
      <c r="I17" s="140">
        <f t="shared" si="0"/>
        <v>23501</v>
      </c>
      <c r="J17" s="140">
        <f t="shared" si="1"/>
        <v>117504</v>
      </c>
      <c r="K17" s="140">
        <f t="shared" si="2"/>
        <v>164508</v>
      </c>
      <c r="L17" s="140">
        <f t="shared" si="12"/>
        <v>282012</v>
      </c>
      <c r="M17" s="148">
        <f t="shared" si="13"/>
        <v>203243</v>
      </c>
      <c r="N17" s="140">
        <f t="shared" si="16"/>
        <v>5284314</v>
      </c>
      <c r="O17" s="144">
        <f t="shared" si="14"/>
        <v>85.317130405827399</v>
      </c>
      <c r="P17" s="144">
        <f t="shared" si="9"/>
        <v>3305.4557585159682</v>
      </c>
      <c r="Q17" s="144">
        <f t="shared" si="10"/>
        <v>70293.382477300678</v>
      </c>
      <c r="R17" s="145">
        <f t="shared" si="11"/>
        <v>5997229.6794825643</v>
      </c>
    </row>
    <row r="18" spans="1:18" x14ac:dyDescent="0.25">
      <c r="A18" s="140">
        <v>15</v>
      </c>
      <c r="B18" s="140">
        <v>2040</v>
      </c>
      <c r="C18" s="141">
        <f t="shared" si="15"/>
        <v>35000</v>
      </c>
      <c r="D18" s="141">
        <f t="shared" si="3"/>
        <v>198</v>
      </c>
      <c r="E18" s="140">
        <f t="shared" si="4"/>
        <v>69300</v>
      </c>
      <c r="F18" s="140">
        <f t="shared" si="5"/>
        <v>104300</v>
      </c>
      <c r="G18" s="140">
        <f t="shared" si="6"/>
        <v>10430</v>
      </c>
      <c r="H18" s="140">
        <f t="shared" si="7"/>
        <v>14602</v>
      </c>
      <c r="I18" s="140">
        <f t="shared" si="0"/>
        <v>25032</v>
      </c>
      <c r="J18" s="140">
        <f t="shared" si="1"/>
        <v>125160</v>
      </c>
      <c r="K18" s="140">
        <f t="shared" si="2"/>
        <v>175224</v>
      </c>
      <c r="L18" s="140">
        <f t="shared" si="12"/>
        <v>300384</v>
      </c>
      <c r="M18" s="148">
        <f t="shared" si="13"/>
        <v>223388</v>
      </c>
      <c r="N18" s="140">
        <f t="shared" si="16"/>
        <v>5808086</v>
      </c>
      <c r="O18" s="144">
        <f t="shared" si="14"/>
        <v>90.436158230177043</v>
      </c>
      <c r="P18" s="144">
        <f t="shared" si="9"/>
        <v>3321.5033221055919</v>
      </c>
      <c r="Q18" s="144">
        <f t="shared" si="10"/>
        <v>73614.885799406271</v>
      </c>
      <c r="R18" s="145">
        <f t="shared" si="11"/>
        <v>6657447.4602515185</v>
      </c>
    </row>
    <row r="19" spans="1:18" x14ac:dyDescent="0.25">
      <c r="A19" s="140">
        <v>16</v>
      </c>
      <c r="B19" s="140">
        <v>2041</v>
      </c>
      <c r="C19" s="141">
        <f t="shared" si="15"/>
        <v>36100</v>
      </c>
      <c r="D19" s="141">
        <f t="shared" si="3"/>
        <v>208</v>
      </c>
      <c r="E19" s="140">
        <f t="shared" si="4"/>
        <v>75088</v>
      </c>
      <c r="F19" s="140">
        <f t="shared" si="5"/>
        <v>111188</v>
      </c>
      <c r="G19" s="140">
        <f t="shared" si="6"/>
        <v>11119</v>
      </c>
      <c r="H19" s="140">
        <f t="shared" si="7"/>
        <v>15566</v>
      </c>
      <c r="I19" s="140">
        <f t="shared" si="0"/>
        <v>26685</v>
      </c>
      <c r="J19" s="140">
        <f t="shared" si="1"/>
        <v>133428</v>
      </c>
      <c r="K19" s="140">
        <f t="shared" si="2"/>
        <v>186792</v>
      </c>
      <c r="L19" s="140">
        <f t="shared" si="12"/>
        <v>320220</v>
      </c>
      <c r="M19" s="148">
        <f t="shared" si="13"/>
        <v>245132</v>
      </c>
      <c r="N19" s="140">
        <f t="shared" si="16"/>
        <v>6373438</v>
      </c>
      <c r="O19" s="144">
        <f t="shared" si="14"/>
        <v>95.862327723987676</v>
      </c>
      <c r="P19" s="144">
        <f t="shared" si="9"/>
        <v>3340.4154437183688</v>
      </c>
      <c r="Q19" s="144">
        <f t="shared" si="10"/>
        <v>76955.301243124646</v>
      </c>
      <c r="R19" s="145">
        <f t="shared" si="11"/>
        <v>7377114.3078666106</v>
      </c>
    </row>
    <row r="20" spans="1:18" x14ac:dyDescent="0.25">
      <c r="A20" s="140">
        <v>17</v>
      </c>
      <c r="B20" s="140">
        <v>2042</v>
      </c>
      <c r="C20" s="141">
        <f t="shared" si="15"/>
        <v>37200</v>
      </c>
      <c r="D20" s="141">
        <f t="shared" si="3"/>
        <v>218</v>
      </c>
      <c r="E20" s="140">
        <f t="shared" si="4"/>
        <v>81096</v>
      </c>
      <c r="F20" s="140">
        <f t="shared" si="5"/>
        <v>118296</v>
      </c>
      <c r="G20" s="140">
        <f t="shared" si="6"/>
        <v>11830</v>
      </c>
      <c r="H20" s="140">
        <f t="shared" si="7"/>
        <v>16561</v>
      </c>
      <c r="I20" s="140">
        <f t="shared" si="0"/>
        <v>28391</v>
      </c>
      <c r="J20" s="140">
        <f t="shared" si="1"/>
        <v>141960</v>
      </c>
      <c r="K20" s="140">
        <f t="shared" si="2"/>
        <v>198732</v>
      </c>
      <c r="L20" s="140">
        <f t="shared" si="12"/>
        <v>340692</v>
      </c>
      <c r="M20" s="148">
        <f t="shared" si="13"/>
        <v>268565</v>
      </c>
      <c r="N20" s="140">
        <f t="shared" si="16"/>
        <v>6982695</v>
      </c>
      <c r="O20" s="144">
        <f t="shared" si="14"/>
        <v>101.61406738742694</v>
      </c>
      <c r="P20" s="144">
        <f t="shared" si="9"/>
        <v>3352.8034922668098</v>
      </c>
      <c r="Q20" s="144">
        <f t="shared" si="10"/>
        <v>80308.104735391462</v>
      </c>
      <c r="R20" s="145">
        <f t="shared" si="11"/>
        <v>8160433.1663386086</v>
      </c>
    </row>
    <row r="21" spans="1:18" x14ac:dyDescent="0.25">
      <c r="A21" s="140">
        <v>18</v>
      </c>
      <c r="B21" s="140">
        <v>2043</v>
      </c>
      <c r="C21" s="141">
        <f t="shared" si="15"/>
        <v>38300</v>
      </c>
      <c r="D21" s="141">
        <f t="shared" si="3"/>
        <v>228</v>
      </c>
      <c r="E21" s="140">
        <f t="shared" si="4"/>
        <v>87324</v>
      </c>
      <c r="F21" s="140">
        <f t="shared" si="5"/>
        <v>125624</v>
      </c>
      <c r="G21" s="140">
        <f t="shared" si="6"/>
        <v>12562</v>
      </c>
      <c r="H21" s="140">
        <f t="shared" si="7"/>
        <v>17587</v>
      </c>
      <c r="I21" s="140">
        <f t="shared" si="0"/>
        <v>30149</v>
      </c>
      <c r="J21" s="140">
        <f t="shared" si="1"/>
        <v>150744</v>
      </c>
      <c r="K21" s="140">
        <f t="shared" si="2"/>
        <v>211044</v>
      </c>
      <c r="L21" s="140">
        <f t="shared" si="12"/>
        <v>361788</v>
      </c>
      <c r="M21" s="148">
        <f t="shared" si="13"/>
        <v>293779</v>
      </c>
      <c r="N21" s="140">
        <f t="shared" si="16"/>
        <v>7638262</v>
      </c>
      <c r="O21" s="144">
        <f t="shared" si="14"/>
        <v>107.71091143067257</v>
      </c>
      <c r="P21" s="144">
        <f t="shared" si="9"/>
        <v>3358.8797568838932</v>
      </c>
      <c r="Q21" s="144">
        <f t="shared" si="10"/>
        <v>83666.984492275355</v>
      </c>
      <c r="R21" s="145">
        <f t="shared" si="11"/>
        <v>9011847.1563189253</v>
      </c>
    </row>
    <row r="22" spans="1:18" x14ac:dyDescent="0.25">
      <c r="A22" s="140">
        <v>19</v>
      </c>
      <c r="B22" s="140">
        <v>2044</v>
      </c>
      <c r="C22" s="141">
        <f t="shared" si="15"/>
        <v>39400</v>
      </c>
      <c r="D22" s="141">
        <f t="shared" si="3"/>
        <v>238</v>
      </c>
      <c r="E22" s="140">
        <f t="shared" si="4"/>
        <v>93772</v>
      </c>
      <c r="F22" s="140">
        <f t="shared" si="5"/>
        <v>133172</v>
      </c>
      <c r="G22" s="140">
        <f t="shared" si="6"/>
        <v>13317</v>
      </c>
      <c r="H22" s="140">
        <f t="shared" si="7"/>
        <v>18644</v>
      </c>
      <c r="I22" s="140">
        <f t="shared" si="0"/>
        <v>31961</v>
      </c>
      <c r="J22" s="140">
        <f t="shared" si="1"/>
        <v>159804</v>
      </c>
      <c r="K22" s="140">
        <f t="shared" si="2"/>
        <v>223728</v>
      </c>
      <c r="L22" s="140">
        <f t="shared" si="12"/>
        <v>383532</v>
      </c>
      <c r="M22" s="148">
        <f t="shared" si="13"/>
        <v>320872</v>
      </c>
      <c r="N22" s="140">
        <f t="shared" si="16"/>
        <v>8342666</v>
      </c>
      <c r="O22" s="144">
        <f t="shared" si="14"/>
        <v>114.17356611651293</v>
      </c>
      <c r="P22" s="144">
        <f t="shared" si="9"/>
        <v>3359.2013724841495</v>
      </c>
      <c r="Q22" s="144">
        <f t="shared" si="10"/>
        <v>87026.185864759507</v>
      </c>
      <c r="R22" s="145">
        <f t="shared" si="11"/>
        <v>9936089.9856980629</v>
      </c>
    </row>
    <row r="23" spans="1:18" x14ac:dyDescent="0.25">
      <c r="A23" s="140">
        <v>20</v>
      </c>
      <c r="B23" s="140">
        <v>2045</v>
      </c>
      <c r="C23" s="141">
        <f t="shared" si="15"/>
        <v>40600</v>
      </c>
      <c r="D23" s="141">
        <f t="shared" si="3"/>
        <v>248</v>
      </c>
      <c r="E23" s="140">
        <f t="shared" si="4"/>
        <v>100688</v>
      </c>
      <c r="F23" s="140">
        <f t="shared" si="5"/>
        <v>141288</v>
      </c>
      <c r="G23" s="140">
        <f t="shared" si="6"/>
        <v>14129</v>
      </c>
      <c r="H23" s="140">
        <f t="shared" si="7"/>
        <v>19780</v>
      </c>
      <c r="I23" s="140">
        <f t="shared" si="0"/>
        <v>33909</v>
      </c>
      <c r="J23" s="140">
        <f t="shared" si="1"/>
        <v>169548</v>
      </c>
      <c r="K23" s="140">
        <f t="shared" si="2"/>
        <v>237360</v>
      </c>
      <c r="L23" s="140">
        <f t="shared" si="12"/>
        <v>406908</v>
      </c>
      <c r="M23" s="148">
        <f t="shared" si="13"/>
        <v>349983</v>
      </c>
      <c r="N23" s="140">
        <f t="shared" si="16"/>
        <v>9099557</v>
      </c>
      <c r="O23" s="144">
        <f t="shared" si="14"/>
        <v>121.02398008350372</v>
      </c>
      <c r="P23" s="144">
        <f t="shared" si="9"/>
        <v>3362.2097019057132</v>
      </c>
      <c r="Q23" s="144">
        <f t="shared" si="10"/>
        <v>90388.395566665218</v>
      </c>
      <c r="R23" s="145">
        <f t="shared" si="11"/>
        <v>10939163.384839946</v>
      </c>
    </row>
    <row r="24" spans="1:18" x14ac:dyDescent="0.25">
      <c r="A24" s="140">
        <v>21</v>
      </c>
      <c r="B24" s="140">
        <v>2046</v>
      </c>
      <c r="C24" s="141">
        <f t="shared" si="15"/>
        <v>41800</v>
      </c>
      <c r="D24" s="141">
        <f t="shared" si="3"/>
        <v>258</v>
      </c>
      <c r="E24" s="140">
        <f t="shared" si="4"/>
        <v>107844</v>
      </c>
      <c r="F24" s="140">
        <f t="shared" si="5"/>
        <v>149644</v>
      </c>
      <c r="G24" s="140">
        <f t="shared" si="6"/>
        <v>14964</v>
      </c>
      <c r="H24" s="140">
        <f t="shared" si="7"/>
        <v>20950</v>
      </c>
      <c r="I24" s="140">
        <f t="shared" si="0"/>
        <v>35914</v>
      </c>
      <c r="J24" s="140">
        <f t="shared" si="1"/>
        <v>179568</v>
      </c>
      <c r="K24" s="140">
        <f t="shared" si="2"/>
        <v>251400</v>
      </c>
      <c r="L24" s="140">
        <f t="shared" si="12"/>
        <v>430968</v>
      </c>
      <c r="M24" s="148">
        <f t="shared" si="13"/>
        <v>381221</v>
      </c>
      <c r="N24" s="140">
        <f t="shared" si="16"/>
        <v>9911746</v>
      </c>
      <c r="O24" s="144">
        <f t="shared" si="14"/>
        <v>128.28541888851396</v>
      </c>
      <c r="P24" s="144">
        <f t="shared" si="9"/>
        <v>3359.4464884160484</v>
      </c>
      <c r="Q24" s="144">
        <f t="shared" si="10"/>
        <v>93747.842055081273</v>
      </c>
      <c r="R24" s="145">
        <f t="shared" si="11"/>
        <v>12026481.187930347</v>
      </c>
    </row>
    <row r="25" spans="1:18" x14ac:dyDescent="0.25">
      <c r="A25" s="140">
        <v>22</v>
      </c>
      <c r="B25" s="140">
        <v>2047</v>
      </c>
      <c r="C25" s="141">
        <f t="shared" si="15"/>
        <v>43100</v>
      </c>
      <c r="D25" s="141">
        <f t="shared" si="3"/>
        <v>268</v>
      </c>
      <c r="E25" s="140">
        <f t="shared" si="4"/>
        <v>115508</v>
      </c>
      <c r="F25" s="140">
        <f t="shared" si="5"/>
        <v>158608</v>
      </c>
      <c r="G25" s="140">
        <f t="shared" si="6"/>
        <v>15861</v>
      </c>
      <c r="H25" s="140">
        <f t="shared" si="7"/>
        <v>22205</v>
      </c>
      <c r="I25" s="140">
        <f t="shared" si="0"/>
        <v>38066</v>
      </c>
      <c r="J25" s="140">
        <f t="shared" si="1"/>
        <v>190332</v>
      </c>
      <c r="K25" s="140">
        <f t="shared" si="2"/>
        <v>266460</v>
      </c>
      <c r="L25" s="140">
        <f t="shared" si="12"/>
        <v>456792</v>
      </c>
      <c r="M25" s="148">
        <f t="shared" si="13"/>
        <v>414742</v>
      </c>
      <c r="N25" s="140">
        <f t="shared" si="16"/>
        <v>10783280</v>
      </c>
      <c r="O25" s="144">
        <f t="shared" si="14"/>
        <v>135.98254402182479</v>
      </c>
      <c r="P25" s="144">
        <f t="shared" si="9"/>
        <v>3359.1958680129287</v>
      </c>
      <c r="Q25" s="144">
        <f t="shared" si="10"/>
        <v>97107.037923094205</v>
      </c>
      <c r="R25" s="145">
        <f t="shared" si="11"/>
        <v>13204862.059206167</v>
      </c>
    </row>
    <row r="26" spans="1:18" x14ac:dyDescent="0.25">
      <c r="A26" s="140">
        <v>23</v>
      </c>
      <c r="B26" s="140">
        <v>2048</v>
      </c>
      <c r="C26" s="141">
        <f t="shared" si="15"/>
        <v>44400</v>
      </c>
      <c r="D26" s="141">
        <f t="shared" si="3"/>
        <v>278</v>
      </c>
      <c r="E26" s="140">
        <f t="shared" si="4"/>
        <v>123432</v>
      </c>
      <c r="F26" s="140">
        <f t="shared" si="5"/>
        <v>167832</v>
      </c>
      <c r="G26" s="140">
        <f t="shared" si="6"/>
        <v>16783</v>
      </c>
      <c r="H26" s="140">
        <f t="shared" si="7"/>
        <v>23496</v>
      </c>
      <c r="I26" s="140">
        <f t="shared" si="0"/>
        <v>40279</v>
      </c>
      <c r="J26" s="140">
        <f t="shared" si="1"/>
        <v>201396</v>
      </c>
      <c r="K26" s="140">
        <f t="shared" si="2"/>
        <v>281952</v>
      </c>
      <c r="L26" s="140">
        <f t="shared" si="12"/>
        <v>483348</v>
      </c>
      <c r="M26" s="148">
        <f t="shared" si="13"/>
        <v>450665</v>
      </c>
      <c r="N26" s="140">
        <f t="shared" si="16"/>
        <v>11717293</v>
      </c>
      <c r="O26" s="144">
        <f t="shared" si="14"/>
        <v>144.14149666313429</v>
      </c>
      <c r="P26" s="144">
        <f t="shared" si="9"/>
        <v>3353.2883395099461</v>
      </c>
      <c r="Q26" s="144">
        <f t="shared" si="10"/>
        <v>100460.32626260415</v>
      </c>
      <c r="R26" s="145">
        <f t="shared" si="11"/>
        <v>14480501.78275854</v>
      </c>
    </row>
    <row r="27" spans="1:18" x14ac:dyDescent="0.25">
      <c r="A27" s="140">
        <v>24</v>
      </c>
      <c r="B27" s="140">
        <v>2049</v>
      </c>
      <c r="C27" s="141">
        <f t="shared" si="15"/>
        <v>45700</v>
      </c>
      <c r="D27" s="141">
        <f t="shared" si="3"/>
        <v>288</v>
      </c>
      <c r="E27" s="140">
        <f t="shared" si="4"/>
        <v>131616</v>
      </c>
      <c r="F27" s="140">
        <f t="shared" si="5"/>
        <v>177316</v>
      </c>
      <c r="G27" s="140">
        <f t="shared" si="6"/>
        <v>17732</v>
      </c>
      <c r="H27" s="140">
        <f t="shared" si="7"/>
        <v>24824</v>
      </c>
      <c r="I27" s="140">
        <f t="shared" si="0"/>
        <v>42556</v>
      </c>
      <c r="J27" s="140">
        <f t="shared" si="1"/>
        <v>212784</v>
      </c>
      <c r="K27" s="140">
        <f t="shared" si="2"/>
        <v>297888</v>
      </c>
      <c r="L27" s="140">
        <f t="shared" si="12"/>
        <v>510672</v>
      </c>
      <c r="M27" s="148">
        <f t="shared" si="13"/>
        <v>489119</v>
      </c>
      <c r="N27" s="140">
        <f t="shared" si="16"/>
        <v>12717084</v>
      </c>
      <c r="O27" s="144">
        <f t="shared" si="14"/>
        <v>152.78998646292234</v>
      </c>
      <c r="P27" s="144">
        <f t="shared" si="9"/>
        <v>3342.3132747244867</v>
      </c>
      <c r="Q27" s="144">
        <f t="shared" si="10"/>
        <v>103802.63953732864</v>
      </c>
      <c r="R27" s="145">
        <f t="shared" si="11"/>
        <v>15860003.88972405</v>
      </c>
    </row>
    <row r="28" spans="1:18" x14ac:dyDescent="0.25">
      <c r="A28" s="140">
        <v>25</v>
      </c>
      <c r="B28" s="140">
        <v>2050</v>
      </c>
      <c r="C28" s="141">
        <f t="shared" si="15"/>
        <v>47100</v>
      </c>
      <c r="D28" s="141">
        <f t="shared" si="3"/>
        <v>298</v>
      </c>
      <c r="E28" s="140">
        <f t="shared" si="4"/>
        <v>140358</v>
      </c>
      <c r="F28" s="140">
        <f t="shared" si="5"/>
        <v>187458</v>
      </c>
      <c r="G28" s="140">
        <f t="shared" si="6"/>
        <v>18746</v>
      </c>
      <c r="H28" s="140">
        <f t="shared" si="7"/>
        <v>26244</v>
      </c>
      <c r="I28" s="140">
        <f t="shared" si="0"/>
        <v>44990</v>
      </c>
      <c r="J28" s="140">
        <f t="shared" si="1"/>
        <v>224952</v>
      </c>
      <c r="K28" s="140">
        <f t="shared" si="2"/>
        <v>314928</v>
      </c>
      <c r="L28" s="140">
        <f t="shared" si="12"/>
        <v>539880</v>
      </c>
      <c r="M28" s="148">
        <f t="shared" si="13"/>
        <v>530279</v>
      </c>
      <c r="N28" s="140">
        <f t="shared" si="16"/>
        <v>13787243</v>
      </c>
      <c r="O28" s="144">
        <f t="shared" si="14"/>
        <v>161.95738565069769</v>
      </c>
      <c r="P28" s="144">
        <f t="shared" si="9"/>
        <v>3333.4694668657385</v>
      </c>
      <c r="Q28" s="144">
        <f t="shared" si="10"/>
        <v>107136.10900419437</v>
      </c>
      <c r="R28" s="145">
        <f t="shared" si="11"/>
        <v>17351484.123107493</v>
      </c>
    </row>
    <row r="29" spans="1:18" x14ac:dyDescent="0.25">
      <c r="A29" s="140">
        <v>26</v>
      </c>
      <c r="B29" s="140">
        <v>2051</v>
      </c>
      <c r="C29" s="141">
        <f t="shared" si="15"/>
        <v>48500</v>
      </c>
      <c r="D29" s="141">
        <f t="shared" si="3"/>
        <v>308</v>
      </c>
      <c r="E29" s="140">
        <f t="shared" si="4"/>
        <v>149380</v>
      </c>
      <c r="F29" s="140">
        <f t="shared" si="5"/>
        <v>197880</v>
      </c>
      <c r="G29" s="140">
        <f t="shared" si="6"/>
        <v>19788</v>
      </c>
      <c r="H29" s="140">
        <f t="shared" si="7"/>
        <v>27703</v>
      </c>
      <c r="I29" s="140">
        <f t="shared" si="0"/>
        <v>47491</v>
      </c>
      <c r="J29" s="140">
        <f t="shared" si="1"/>
        <v>237456</v>
      </c>
      <c r="K29" s="140">
        <f t="shared" si="2"/>
        <v>332436</v>
      </c>
      <c r="L29" s="140">
        <f t="shared" si="12"/>
        <v>569892</v>
      </c>
      <c r="M29" s="148">
        <f t="shared" si="13"/>
        <v>574285</v>
      </c>
      <c r="N29" s="140">
        <f t="shared" si="16"/>
        <v>14931420</v>
      </c>
      <c r="O29" s="144">
        <f t="shared" si="14"/>
        <v>171.67482878973956</v>
      </c>
      <c r="P29" s="144">
        <f t="shared" si="9"/>
        <v>3319.6013883781461</v>
      </c>
      <c r="Q29" s="144">
        <f t="shared" si="10"/>
        <v>110455.71039257251</v>
      </c>
      <c r="R29" s="145">
        <f t="shared" si="11"/>
        <v>18962465.170493942</v>
      </c>
    </row>
    <row r="30" spans="1:18" x14ac:dyDescent="0.25">
      <c r="A30" s="140">
        <v>27</v>
      </c>
      <c r="B30" s="140">
        <v>2052</v>
      </c>
      <c r="C30" s="141">
        <f t="shared" si="15"/>
        <v>50000</v>
      </c>
      <c r="D30" s="141">
        <f t="shared" si="3"/>
        <v>318</v>
      </c>
      <c r="E30" s="140">
        <f t="shared" si="4"/>
        <v>159000</v>
      </c>
      <c r="F30" s="140">
        <f t="shared" si="5"/>
        <v>209000</v>
      </c>
      <c r="G30" s="140">
        <f t="shared" si="6"/>
        <v>20900</v>
      </c>
      <c r="H30" s="140">
        <f t="shared" si="7"/>
        <v>29260</v>
      </c>
      <c r="I30" s="140">
        <f t="shared" si="0"/>
        <v>50160</v>
      </c>
      <c r="J30" s="140">
        <f t="shared" si="1"/>
        <v>250800</v>
      </c>
      <c r="K30" s="140">
        <f t="shared" si="2"/>
        <v>351120</v>
      </c>
      <c r="L30" s="140">
        <f t="shared" si="12"/>
        <v>601920</v>
      </c>
      <c r="M30" s="148">
        <f t="shared" si="13"/>
        <v>621334</v>
      </c>
      <c r="N30" s="140">
        <f t="shared" si="16"/>
        <v>16154674</v>
      </c>
      <c r="O30" s="144">
        <f t="shared" si="14"/>
        <v>181.97531851712395</v>
      </c>
      <c r="P30" s="144">
        <f t="shared" si="9"/>
        <v>3307.7013130402029</v>
      </c>
      <c r="Q30" s="144">
        <f t="shared" si="10"/>
        <v>113763.41170561271</v>
      </c>
      <c r="R30" s="145">
        <f t="shared" si="11"/>
        <v>20702133.08072358</v>
      </c>
    </row>
    <row r="31" spans="1:18" x14ac:dyDescent="0.25">
      <c r="A31" s="140">
        <v>28</v>
      </c>
      <c r="B31" s="140">
        <v>2053</v>
      </c>
      <c r="C31" s="141">
        <f t="shared" si="15"/>
        <v>51500</v>
      </c>
      <c r="D31" s="141">
        <f t="shared" si="3"/>
        <v>328</v>
      </c>
      <c r="E31" s="140">
        <f t="shared" si="4"/>
        <v>168920</v>
      </c>
      <c r="F31" s="140">
        <f t="shared" si="5"/>
        <v>220420</v>
      </c>
      <c r="G31" s="140">
        <f t="shared" si="6"/>
        <v>22042</v>
      </c>
      <c r="H31" s="140">
        <f t="shared" si="7"/>
        <v>30859</v>
      </c>
      <c r="I31" s="140">
        <f t="shared" si="0"/>
        <v>52901</v>
      </c>
      <c r="J31" s="140">
        <f t="shared" si="1"/>
        <v>264504</v>
      </c>
      <c r="K31" s="140">
        <f t="shared" si="2"/>
        <v>370308</v>
      </c>
      <c r="L31" s="140">
        <f t="shared" si="12"/>
        <v>634812</v>
      </c>
      <c r="M31" s="148">
        <f t="shared" si="13"/>
        <v>671579</v>
      </c>
      <c r="N31" s="140">
        <f t="shared" si="16"/>
        <v>17461065</v>
      </c>
      <c r="O31" s="144">
        <f t="shared" si="14"/>
        <v>192.8938376281514</v>
      </c>
      <c r="P31" s="144">
        <f t="shared" si="9"/>
        <v>3290.991603494097</v>
      </c>
      <c r="Q31" s="144">
        <f t="shared" si="10"/>
        <v>117054.40330910681</v>
      </c>
      <c r="R31" s="145">
        <f t="shared" si="11"/>
        <v>22579073.065566998</v>
      </c>
    </row>
    <row r="32" spans="1:18" x14ac:dyDescent="0.25">
      <c r="A32" s="140">
        <v>29</v>
      </c>
      <c r="B32" s="140">
        <v>2054</v>
      </c>
      <c r="C32" s="141">
        <f t="shared" si="15"/>
        <v>53000</v>
      </c>
      <c r="D32" s="141">
        <f t="shared" si="3"/>
        <v>338</v>
      </c>
      <c r="E32" s="140">
        <f t="shared" si="4"/>
        <v>179140</v>
      </c>
      <c r="F32" s="140">
        <f t="shared" si="5"/>
        <v>232140</v>
      </c>
      <c r="G32" s="140">
        <f t="shared" si="6"/>
        <v>23214</v>
      </c>
      <c r="H32" s="140">
        <f t="shared" si="7"/>
        <v>32500</v>
      </c>
      <c r="I32" s="140">
        <f t="shared" si="0"/>
        <v>55714</v>
      </c>
      <c r="J32" s="140">
        <f t="shared" si="1"/>
        <v>278568</v>
      </c>
      <c r="K32" s="140">
        <f t="shared" si="2"/>
        <v>390000</v>
      </c>
      <c r="L32" s="140">
        <f t="shared" si="12"/>
        <v>668568</v>
      </c>
      <c r="M32" s="148">
        <f t="shared" si="13"/>
        <v>725185</v>
      </c>
      <c r="N32" s="140">
        <f t="shared" si="16"/>
        <v>18854818</v>
      </c>
      <c r="O32" s="144">
        <f t="shared" si="14"/>
        <v>204.46746788584051</v>
      </c>
      <c r="P32" s="144">
        <f t="shared" si="9"/>
        <v>3269.8013376547456</v>
      </c>
      <c r="Q32" s="144">
        <f t="shared" si="10"/>
        <v>120324.20464676156</v>
      </c>
      <c r="R32" s="145">
        <f t="shared" si="11"/>
        <v>24602385.449501019</v>
      </c>
    </row>
    <row r="33" spans="1:19" x14ac:dyDescent="0.25">
      <c r="A33" s="140">
        <v>30</v>
      </c>
      <c r="B33" s="140">
        <v>2055</v>
      </c>
      <c r="C33" s="141">
        <f t="shared" si="15"/>
        <v>54600</v>
      </c>
      <c r="D33" s="141">
        <f t="shared" si="3"/>
        <v>348</v>
      </c>
      <c r="E33" s="140">
        <f t="shared" si="4"/>
        <v>190008</v>
      </c>
      <c r="F33" s="140">
        <f t="shared" si="5"/>
        <v>244608</v>
      </c>
      <c r="G33" s="140">
        <f t="shared" si="6"/>
        <v>24461</v>
      </c>
      <c r="H33" s="140">
        <f t="shared" si="7"/>
        <v>34245</v>
      </c>
      <c r="I33" s="140">
        <f t="shared" si="0"/>
        <v>58706</v>
      </c>
      <c r="J33" s="140">
        <f t="shared" si="1"/>
        <v>293532</v>
      </c>
      <c r="K33" s="140">
        <f t="shared" si="2"/>
        <v>410940</v>
      </c>
      <c r="L33" s="140">
        <f t="shared" si="12"/>
        <v>704472</v>
      </c>
      <c r="M33" s="148">
        <f t="shared" si="13"/>
        <v>782372</v>
      </c>
      <c r="N33" s="140">
        <f t="shared" si="16"/>
        <v>20341662</v>
      </c>
      <c r="O33" s="144">
        <f t="shared" si="14"/>
        <v>216.73551595899096</v>
      </c>
      <c r="P33" s="144">
        <f t="shared" si="9"/>
        <v>3250.3763717862225</v>
      </c>
      <c r="Q33" s="144">
        <f t="shared" si="10"/>
        <v>123574.58101854777</v>
      </c>
      <c r="R33" s="145">
        <f t="shared" si="11"/>
        <v>26783000.576471083</v>
      </c>
    </row>
    <row r="34" spans="1:19" x14ac:dyDescent="0.25">
      <c r="A34" s="140">
        <v>31</v>
      </c>
      <c r="B34" s="140">
        <v>2056</v>
      </c>
      <c r="C34" s="141">
        <f t="shared" si="15"/>
        <v>56200</v>
      </c>
      <c r="D34" s="141">
        <f t="shared" si="3"/>
        <v>358</v>
      </c>
      <c r="E34" s="140">
        <f t="shared" si="4"/>
        <v>201196</v>
      </c>
      <c r="F34" s="140">
        <f t="shared" si="5"/>
        <v>257396</v>
      </c>
      <c r="G34" s="140">
        <f t="shared" si="6"/>
        <v>25740</v>
      </c>
      <c r="H34" s="140">
        <f t="shared" si="7"/>
        <v>36035</v>
      </c>
      <c r="I34" s="140">
        <f t="shared" si="0"/>
        <v>61775</v>
      </c>
      <c r="J34" s="140">
        <f t="shared" si="1"/>
        <v>308880</v>
      </c>
      <c r="K34" s="140">
        <f t="shared" si="2"/>
        <v>432420</v>
      </c>
      <c r="L34" s="140">
        <f t="shared" si="12"/>
        <v>741300</v>
      </c>
      <c r="M34" s="148">
        <f t="shared" si="13"/>
        <v>843318</v>
      </c>
      <c r="N34" s="140">
        <f t="shared" si="16"/>
        <v>21926280</v>
      </c>
      <c r="O34" s="144">
        <f t="shared" si="14"/>
        <v>229.73964691653043</v>
      </c>
      <c r="P34" s="144">
        <f t="shared" si="9"/>
        <v>3226.6960011013289</v>
      </c>
      <c r="Q34" s="144">
        <f t="shared" si="10"/>
        <v>126801.2770196491</v>
      </c>
      <c r="R34" s="145">
        <f t="shared" si="11"/>
        <v>29131280.611059349</v>
      </c>
    </row>
    <row r="35" spans="1:19" x14ac:dyDescent="0.25">
      <c r="A35" s="140">
        <v>32</v>
      </c>
      <c r="B35" s="140">
        <v>2057</v>
      </c>
      <c r="C35" s="141">
        <f t="shared" si="15"/>
        <v>57900</v>
      </c>
      <c r="D35" s="141">
        <f t="shared" si="3"/>
        <v>368</v>
      </c>
      <c r="E35" s="140">
        <f t="shared" si="4"/>
        <v>213072</v>
      </c>
      <c r="F35" s="140">
        <f t="shared" si="5"/>
        <v>270972</v>
      </c>
      <c r="G35" s="140">
        <f t="shared" si="6"/>
        <v>27097</v>
      </c>
      <c r="H35" s="140">
        <f t="shared" si="7"/>
        <v>37936</v>
      </c>
      <c r="I35" s="140">
        <f t="shared" si="0"/>
        <v>65033</v>
      </c>
      <c r="J35" s="140">
        <f t="shared" si="1"/>
        <v>325164</v>
      </c>
      <c r="K35" s="140">
        <f t="shared" si="2"/>
        <v>455232</v>
      </c>
      <c r="L35" s="140">
        <f t="shared" si="12"/>
        <v>780396</v>
      </c>
      <c r="M35" s="148">
        <f t="shared" si="13"/>
        <v>908267</v>
      </c>
      <c r="N35" s="140">
        <f t="shared" si="16"/>
        <v>23614943</v>
      </c>
      <c r="O35" s="144">
        <f t="shared" si="14"/>
        <v>243.52402573152227</v>
      </c>
      <c r="P35" s="144">
        <f t="shared" si="9"/>
        <v>3204.5955123145118</v>
      </c>
      <c r="Q35" s="144">
        <f t="shared" si="10"/>
        <v>130005.87253196361</v>
      </c>
      <c r="R35" s="145">
        <f t="shared" si="11"/>
        <v>31659553.447722912</v>
      </c>
    </row>
    <row r="36" spans="1:19" x14ac:dyDescent="0.25">
      <c r="A36" s="140">
        <v>33</v>
      </c>
      <c r="B36" s="140">
        <v>2058</v>
      </c>
      <c r="C36" s="141">
        <f t="shared" si="15"/>
        <v>59600</v>
      </c>
      <c r="D36" s="141">
        <f t="shared" si="3"/>
        <v>378</v>
      </c>
      <c r="E36" s="140">
        <f t="shared" si="4"/>
        <v>225288</v>
      </c>
      <c r="F36" s="140">
        <f t="shared" si="5"/>
        <v>284888</v>
      </c>
      <c r="G36" s="140">
        <f t="shared" si="6"/>
        <v>28489</v>
      </c>
      <c r="H36" s="140">
        <f t="shared" si="7"/>
        <v>39884</v>
      </c>
      <c r="I36" s="140">
        <f t="shared" si="0"/>
        <v>68373</v>
      </c>
      <c r="J36" s="140">
        <f t="shared" si="1"/>
        <v>341868</v>
      </c>
      <c r="K36" s="140">
        <f t="shared" si="2"/>
        <v>478608</v>
      </c>
      <c r="L36" s="140">
        <f t="shared" si="12"/>
        <v>820476</v>
      </c>
      <c r="M36" s="148">
        <f t="shared" si="13"/>
        <v>977417</v>
      </c>
      <c r="N36" s="140">
        <f t="shared" si="16"/>
        <v>25412836</v>
      </c>
      <c r="O36" s="144">
        <f t="shared" si="14"/>
        <v>258.13546727541365</v>
      </c>
      <c r="P36" s="144">
        <f>+L36/O36</f>
        <v>3178.4706249784954</v>
      </c>
      <c r="Q36" s="144">
        <f>+Q35+P36</f>
        <v>133184.34315694211</v>
      </c>
      <c r="R36" s="145">
        <f>+Q36*O36</f>
        <v>34379602.654586293</v>
      </c>
    </row>
    <row r="37" spans="1:19" x14ac:dyDescent="0.25">
      <c r="A37" s="140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</row>
    <row r="38" spans="1:19" x14ac:dyDescent="0.25">
      <c r="A38" s="142"/>
      <c r="B38" s="142" t="s">
        <v>174</v>
      </c>
      <c r="C38" s="142">
        <f>MAX(C4:C36)</f>
        <v>59600</v>
      </c>
      <c r="D38" s="142">
        <f>MAX(D4:D36)</f>
        <v>378</v>
      </c>
      <c r="E38" s="142">
        <f>SUM(E4:E37)</f>
        <v>3116930</v>
      </c>
      <c r="F38" s="142">
        <f t="shared" ref="F38:I38" si="17">SUM(F4:F37)</f>
        <v>4391930</v>
      </c>
      <c r="G38" s="142">
        <f t="shared" si="17"/>
        <v>439194</v>
      </c>
      <c r="H38" s="142">
        <f t="shared" si="17"/>
        <v>614867</v>
      </c>
      <c r="I38" s="142">
        <f t="shared" si="17"/>
        <v>1054061</v>
      </c>
      <c r="J38" s="146">
        <f t="shared" ref="J38" si="18">SUM(J4:J37)</f>
        <v>5670543</v>
      </c>
      <c r="K38" s="142">
        <f t="shared" ref="K38" si="19">SUM(K4:K37)</f>
        <v>8089898</v>
      </c>
      <c r="L38" s="146">
        <f t="shared" ref="L38" si="20">SUM(L4:L37)</f>
        <v>13760441</v>
      </c>
      <c r="M38" s="142"/>
      <c r="N38" s="142">
        <f>MAX(N4:N36)</f>
        <v>25412836</v>
      </c>
      <c r="O38" s="287">
        <f>MAX(O4:O36)</f>
        <v>258.13546727541365</v>
      </c>
      <c r="P38" s="142"/>
      <c r="Q38" s="143">
        <f>+Q36</f>
        <v>133184.34315694211</v>
      </c>
      <c r="R38" s="288">
        <f>MAX(R4:R36)</f>
        <v>34379602.654586293</v>
      </c>
    </row>
    <row r="39" spans="1:19" x14ac:dyDescent="0.25">
      <c r="J39" s="155">
        <v>0.1</v>
      </c>
      <c r="K39" s="155">
        <v>0.14000000000000001</v>
      </c>
      <c r="L39" s="155">
        <v>0.24</v>
      </c>
      <c r="N39" s="137" t="s">
        <v>176</v>
      </c>
      <c r="Q39" s="137" t="s">
        <v>177</v>
      </c>
      <c r="R39" s="137" t="s">
        <v>178</v>
      </c>
    </row>
    <row r="40" spans="1:19" x14ac:dyDescent="0.25">
      <c r="O40" s="147"/>
      <c r="Q40" s="147"/>
    </row>
    <row r="41" spans="1:19" ht="18" x14ac:dyDescent="0.4">
      <c r="H41" s="219" t="s">
        <v>40</v>
      </c>
      <c r="I41" s="220"/>
      <c r="J41" s="220"/>
      <c r="K41" s="220"/>
      <c r="L41" s="220"/>
      <c r="M41" s="138">
        <v>0.06</v>
      </c>
      <c r="O41" s="199" t="s">
        <v>41</v>
      </c>
      <c r="P41" s="200"/>
      <c r="Q41" s="200"/>
      <c r="R41" s="200"/>
      <c r="S41" s="201"/>
    </row>
    <row r="42" spans="1:19" ht="18" x14ac:dyDescent="0.4">
      <c r="B42" s="191" t="s">
        <v>39</v>
      </c>
      <c r="C42" s="192"/>
      <c r="D42" s="192"/>
      <c r="E42" s="192"/>
      <c r="F42" s="192"/>
      <c r="H42" s="204" t="s">
        <v>63</v>
      </c>
      <c r="I42" s="205"/>
      <c r="J42" s="206"/>
      <c r="K42" s="194">
        <f>ROUND(R38*40%,0)</f>
        <v>13751841</v>
      </c>
      <c r="L42" s="195"/>
      <c r="M42" s="49">
        <f>ROUND((K42*M41)/12,0)</f>
        <v>68759</v>
      </c>
      <c r="O42" s="53" t="s">
        <v>36</v>
      </c>
      <c r="P42" s="197" t="s">
        <v>56</v>
      </c>
      <c r="Q42" s="197"/>
      <c r="R42" s="197" t="s">
        <v>55</v>
      </c>
      <c r="S42" s="197"/>
    </row>
    <row r="43" spans="1:19" ht="18" x14ac:dyDescent="0.4">
      <c r="B43" s="47" t="s">
        <v>36</v>
      </c>
      <c r="C43" s="193" t="s">
        <v>56</v>
      </c>
      <c r="D43" s="193"/>
      <c r="E43" s="193" t="s">
        <v>55</v>
      </c>
      <c r="F43" s="193"/>
      <c r="H43" s="207" t="s">
        <v>182</v>
      </c>
      <c r="I43" s="207"/>
      <c r="J43" s="207"/>
      <c r="K43" s="196">
        <f>ROUND(R38*60%,0)</f>
        <v>20627762</v>
      </c>
      <c r="L43" s="196"/>
      <c r="M43" s="49">
        <f>ROUND((K43*M41)/12,0)</f>
        <v>103139</v>
      </c>
      <c r="O43" s="53">
        <v>1</v>
      </c>
      <c r="P43" s="197" t="s">
        <v>17</v>
      </c>
      <c r="Q43" s="197"/>
      <c r="R43" s="198">
        <f>+E44</f>
        <v>59600</v>
      </c>
      <c r="S43" s="197"/>
    </row>
    <row r="44" spans="1:19" ht="18" x14ac:dyDescent="0.4">
      <c r="B44" s="47">
        <v>1</v>
      </c>
      <c r="C44" s="193" t="s">
        <v>17</v>
      </c>
      <c r="D44" s="193"/>
      <c r="E44" s="193">
        <f>+C38</f>
        <v>59600</v>
      </c>
      <c r="F44" s="193"/>
      <c r="H44" s="208" t="s">
        <v>183</v>
      </c>
      <c r="I44" s="208"/>
      <c r="J44" s="208"/>
      <c r="K44" s="209">
        <f>SUM(K42:K43)</f>
        <v>34379603</v>
      </c>
      <c r="L44" s="209"/>
      <c r="M44" s="49">
        <f>SUM(M42:M43)</f>
        <v>171898</v>
      </c>
      <c r="O44" s="53">
        <v>2</v>
      </c>
      <c r="P44" s="197" t="s">
        <v>37</v>
      </c>
      <c r="Q44" s="197"/>
      <c r="R44" s="197">
        <f>+R43/2</f>
        <v>29800</v>
      </c>
      <c r="S44" s="197"/>
    </row>
    <row r="45" spans="1:19" ht="18" x14ac:dyDescent="0.4">
      <c r="B45" s="47">
        <v>2</v>
      </c>
      <c r="C45" s="193" t="s">
        <v>37</v>
      </c>
      <c r="D45" s="193"/>
      <c r="E45" s="193">
        <f>+E44/2</f>
        <v>29800</v>
      </c>
      <c r="F45" s="193"/>
      <c r="H45" s="210" t="s">
        <v>66</v>
      </c>
      <c r="I45" s="211"/>
      <c r="J45" s="211"/>
      <c r="K45" s="211"/>
      <c r="L45" s="212"/>
      <c r="M45" s="51">
        <f>+M44</f>
        <v>171898</v>
      </c>
      <c r="O45" s="53">
        <v>3</v>
      </c>
      <c r="P45" s="197" t="s">
        <v>19</v>
      </c>
      <c r="Q45" s="197"/>
      <c r="R45" s="199">
        <f>ROUND(R44*(D38%),0)</f>
        <v>112644</v>
      </c>
      <c r="S45" s="201"/>
    </row>
    <row r="46" spans="1:19" ht="18" x14ac:dyDescent="0.4">
      <c r="B46" s="47">
        <v>3</v>
      </c>
      <c r="C46" s="193" t="s">
        <v>19</v>
      </c>
      <c r="D46" s="193"/>
      <c r="E46" s="193">
        <f>ROUND(E45*(D38%),0)</f>
        <v>112644</v>
      </c>
      <c r="F46" s="193"/>
      <c r="H46" s="210" t="s">
        <v>67</v>
      </c>
      <c r="I46" s="211"/>
      <c r="J46" s="211"/>
      <c r="K46" s="211"/>
      <c r="L46" s="212"/>
      <c r="M46" s="51">
        <f>+M45-E47</f>
        <v>29454</v>
      </c>
      <c r="O46" s="53">
        <v>4</v>
      </c>
      <c r="P46" s="197" t="s">
        <v>116</v>
      </c>
      <c r="Q46" s="197"/>
      <c r="R46" s="197">
        <f>+R44+R45</f>
        <v>142444</v>
      </c>
      <c r="S46" s="197"/>
    </row>
    <row r="47" spans="1:19" ht="35.25" customHeight="1" x14ac:dyDescent="0.4">
      <c r="B47" s="161">
        <v>4</v>
      </c>
      <c r="C47" s="214" t="s">
        <v>184</v>
      </c>
      <c r="D47" s="214"/>
      <c r="E47" s="215">
        <f>+E45+E46</f>
        <v>142444</v>
      </c>
      <c r="F47" s="215"/>
      <c r="O47" s="216" t="s">
        <v>62</v>
      </c>
      <c r="P47" s="216"/>
      <c r="Q47" s="216"/>
      <c r="R47" s="216"/>
      <c r="S47" s="216"/>
    </row>
    <row r="48" spans="1:19" ht="33" customHeight="1" x14ac:dyDescent="0.4">
      <c r="B48" s="213" t="s">
        <v>62</v>
      </c>
      <c r="C48" s="213"/>
      <c r="D48" s="213"/>
      <c r="E48" s="213"/>
      <c r="F48" s="213"/>
      <c r="O48" s="224" t="s">
        <v>74</v>
      </c>
      <c r="P48" s="224"/>
      <c r="Q48" s="224"/>
      <c r="R48" s="197">
        <f>+ROUND(R44*60%,0)</f>
        <v>17880</v>
      </c>
      <c r="S48" s="197"/>
    </row>
    <row r="49" spans="1:19" ht="18" x14ac:dyDescent="0.4">
      <c r="B49" s="203" t="s">
        <v>38</v>
      </c>
      <c r="C49" s="203"/>
      <c r="D49" s="203"/>
      <c r="E49" s="193">
        <f>+ROUND(E44*30%,0)</f>
        <v>17880</v>
      </c>
      <c r="F49" s="193"/>
      <c r="O49" s="224" t="s">
        <v>19</v>
      </c>
      <c r="P49" s="224"/>
      <c r="Q49" s="224"/>
      <c r="R49" s="199">
        <f>ROUND(R48*(D38%),0)</f>
        <v>67586</v>
      </c>
      <c r="S49" s="201"/>
    </row>
    <row r="50" spans="1:19" ht="18" x14ac:dyDescent="0.4">
      <c r="B50" s="203" t="s">
        <v>19</v>
      </c>
      <c r="C50" s="203"/>
      <c r="D50" s="203"/>
      <c r="E50" s="193">
        <f>ROUND(E49*(D38%),0)</f>
        <v>67586</v>
      </c>
      <c r="F50" s="193"/>
      <c r="O50" s="224" t="s">
        <v>21</v>
      </c>
      <c r="P50" s="224"/>
      <c r="Q50" s="224"/>
      <c r="R50" s="197">
        <f>+R48+R49</f>
        <v>85466</v>
      </c>
      <c r="S50" s="197"/>
    </row>
    <row r="51" spans="1:19" ht="18" x14ac:dyDescent="0.4">
      <c r="B51" s="203" t="s">
        <v>21</v>
      </c>
      <c r="C51" s="203"/>
      <c r="D51" s="203"/>
      <c r="E51" s="193">
        <f>+E49+E50</f>
        <v>85466</v>
      </c>
      <c r="F51" s="193"/>
    </row>
    <row r="53" spans="1:19" x14ac:dyDescent="0.25">
      <c r="A53" s="168" t="s">
        <v>189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9"/>
    </row>
    <row r="55" spans="1:19" ht="15" customHeight="1" x14ac:dyDescent="0.25">
      <c r="A55" s="218" t="s">
        <v>167</v>
      </c>
      <c r="B55" s="218" t="s">
        <v>168</v>
      </c>
      <c r="C55" s="218" t="s">
        <v>169</v>
      </c>
      <c r="D55" s="163" t="s">
        <v>172</v>
      </c>
      <c r="E55" s="218" t="s">
        <v>170</v>
      </c>
      <c r="F55" s="218" t="s">
        <v>171</v>
      </c>
      <c r="G55" s="222" t="s">
        <v>185</v>
      </c>
      <c r="H55" s="218" t="s">
        <v>186</v>
      </c>
      <c r="I55" s="218"/>
      <c r="J55" s="222" t="s">
        <v>187</v>
      </c>
      <c r="K55" s="222" t="s">
        <v>188</v>
      </c>
    </row>
    <row r="56" spans="1:19" x14ac:dyDescent="0.25">
      <c r="A56" s="218"/>
      <c r="B56" s="218"/>
      <c r="C56" s="218"/>
      <c r="D56" s="162">
        <f>+D2</f>
        <v>10</v>
      </c>
      <c r="E56" s="218"/>
      <c r="F56" s="218"/>
      <c r="G56" s="222"/>
      <c r="H56" s="218"/>
      <c r="I56" s="218"/>
      <c r="J56" s="222"/>
      <c r="K56" s="222"/>
    </row>
    <row r="57" spans="1:19" x14ac:dyDescent="0.25">
      <c r="A57" s="164">
        <v>2</v>
      </c>
      <c r="B57" s="164">
        <f>+B36+1</f>
        <v>2059</v>
      </c>
      <c r="C57" s="164">
        <f>+E45</f>
        <v>29800</v>
      </c>
      <c r="D57" s="165">
        <f>+D38+$D$2</f>
        <v>388</v>
      </c>
      <c r="E57" s="166">
        <f t="shared" ref="E57:E75" si="21">+ROUND(C57*D57/100,0)</f>
        <v>115624</v>
      </c>
      <c r="F57" s="166">
        <f t="shared" ref="F57:F75" si="22">C57+E57</f>
        <v>145424</v>
      </c>
      <c r="G57" s="164">
        <f>+F57*12</f>
        <v>1745088</v>
      </c>
      <c r="H57" s="221">
        <f>+G57</f>
        <v>1745088</v>
      </c>
      <c r="I57" s="221"/>
      <c r="J57" s="167">
        <f>+K44-H57+M42</f>
        <v>32703274</v>
      </c>
      <c r="K57" s="164">
        <f>+$M$42*12</f>
        <v>825108</v>
      </c>
    </row>
    <row r="58" spans="1:19" x14ac:dyDescent="0.25">
      <c r="A58" s="164">
        <v>3</v>
      </c>
      <c r="B58" s="164">
        <f t="shared" ref="B58:B75" si="23">+B57+1</f>
        <v>2060</v>
      </c>
      <c r="C58" s="164">
        <f>+C57</f>
        <v>29800</v>
      </c>
      <c r="D58" s="165">
        <f>+D57+$D$2</f>
        <v>398</v>
      </c>
      <c r="E58" s="166">
        <f t="shared" si="21"/>
        <v>118604</v>
      </c>
      <c r="F58" s="166">
        <f t="shared" si="22"/>
        <v>148404</v>
      </c>
      <c r="G58" s="164">
        <f t="shared" ref="G58:G75" si="24">+F58*12</f>
        <v>1780848</v>
      </c>
      <c r="H58" s="221">
        <f>+H57+G58</f>
        <v>3525936</v>
      </c>
      <c r="I58" s="221"/>
      <c r="J58" s="167">
        <f>+J57-G58+K58</f>
        <v>31747534</v>
      </c>
      <c r="K58" s="164">
        <f>+$M$42*12</f>
        <v>825108</v>
      </c>
    </row>
    <row r="59" spans="1:19" x14ac:dyDescent="0.25">
      <c r="A59" s="164">
        <v>4</v>
      </c>
      <c r="B59" s="164">
        <f t="shared" si="23"/>
        <v>2061</v>
      </c>
      <c r="C59" s="164">
        <f t="shared" ref="C59:C75" si="25">+C58</f>
        <v>29800</v>
      </c>
      <c r="D59" s="165">
        <f t="shared" ref="D59:D75" si="26">+D58+$D$2</f>
        <v>408</v>
      </c>
      <c r="E59" s="166">
        <f t="shared" si="21"/>
        <v>121584</v>
      </c>
      <c r="F59" s="166">
        <f t="shared" si="22"/>
        <v>151384</v>
      </c>
      <c r="G59" s="164">
        <f t="shared" si="24"/>
        <v>1816608</v>
      </c>
      <c r="H59" s="221">
        <f t="shared" ref="H59:H75" si="27">+H58+G59</f>
        <v>5342544</v>
      </c>
      <c r="I59" s="221"/>
      <c r="J59" s="167">
        <f>+J58-G59+K59</f>
        <v>30756034</v>
      </c>
      <c r="K59" s="164">
        <f t="shared" ref="K59:K74" si="28">+$M$42*12</f>
        <v>825108</v>
      </c>
    </row>
    <row r="60" spans="1:19" x14ac:dyDescent="0.25">
      <c r="A60" s="164">
        <v>5</v>
      </c>
      <c r="B60" s="164">
        <f t="shared" si="23"/>
        <v>2062</v>
      </c>
      <c r="C60" s="164">
        <f t="shared" si="25"/>
        <v>29800</v>
      </c>
      <c r="D60" s="165">
        <f t="shared" si="26"/>
        <v>418</v>
      </c>
      <c r="E60" s="166">
        <f t="shared" si="21"/>
        <v>124564</v>
      </c>
      <c r="F60" s="166">
        <f t="shared" si="22"/>
        <v>154364</v>
      </c>
      <c r="G60" s="164">
        <f t="shared" si="24"/>
        <v>1852368</v>
      </c>
      <c r="H60" s="221">
        <f t="shared" si="27"/>
        <v>7194912</v>
      </c>
      <c r="I60" s="221"/>
      <c r="J60" s="167">
        <f t="shared" ref="J60:J70" si="29">+J59-G60+K60</f>
        <v>29728774</v>
      </c>
      <c r="K60" s="164">
        <f t="shared" si="28"/>
        <v>825108</v>
      </c>
    </row>
    <row r="61" spans="1:19" x14ac:dyDescent="0.25">
      <c r="A61" s="164">
        <v>6</v>
      </c>
      <c r="B61" s="164">
        <f t="shared" si="23"/>
        <v>2063</v>
      </c>
      <c r="C61" s="164">
        <f t="shared" si="25"/>
        <v>29800</v>
      </c>
      <c r="D61" s="165">
        <f t="shared" si="26"/>
        <v>428</v>
      </c>
      <c r="E61" s="166">
        <f t="shared" si="21"/>
        <v>127544</v>
      </c>
      <c r="F61" s="166">
        <f t="shared" si="22"/>
        <v>157344</v>
      </c>
      <c r="G61" s="164">
        <f t="shared" si="24"/>
        <v>1888128</v>
      </c>
      <c r="H61" s="221">
        <f t="shared" si="27"/>
        <v>9083040</v>
      </c>
      <c r="I61" s="221"/>
      <c r="J61" s="167">
        <f t="shared" si="29"/>
        <v>28665754</v>
      </c>
      <c r="K61" s="164">
        <f t="shared" si="28"/>
        <v>825108</v>
      </c>
    </row>
    <row r="62" spans="1:19" x14ac:dyDescent="0.25">
      <c r="A62" s="164">
        <v>7</v>
      </c>
      <c r="B62" s="164">
        <f t="shared" si="23"/>
        <v>2064</v>
      </c>
      <c r="C62" s="164">
        <f t="shared" si="25"/>
        <v>29800</v>
      </c>
      <c r="D62" s="165">
        <f t="shared" si="26"/>
        <v>438</v>
      </c>
      <c r="E62" s="166">
        <f t="shared" si="21"/>
        <v>130524</v>
      </c>
      <c r="F62" s="166">
        <f t="shared" si="22"/>
        <v>160324</v>
      </c>
      <c r="G62" s="164">
        <f t="shared" si="24"/>
        <v>1923888</v>
      </c>
      <c r="H62" s="221">
        <f t="shared" si="27"/>
        <v>11006928</v>
      </c>
      <c r="I62" s="221"/>
      <c r="J62" s="167">
        <f t="shared" si="29"/>
        <v>27566974</v>
      </c>
      <c r="K62" s="164">
        <f t="shared" si="28"/>
        <v>825108</v>
      </c>
    </row>
    <row r="63" spans="1:19" x14ac:dyDescent="0.25">
      <c r="A63" s="164">
        <v>8</v>
      </c>
      <c r="B63" s="164">
        <f t="shared" si="23"/>
        <v>2065</v>
      </c>
      <c r="C63" s="164">
        <f t="shared" si="25"/>
        <v>29800</v>
      </c>
      <c r="D63" s="165">
        <f t="shared" si="26"/>
        <v>448</v>
      </c>
      <c r="E63" s="166">
        <f t="shared" si="21"/>
        <v>133504</v>
      </c>
      <c r="F63" s="166">
        <f t="shared" si="22"/>
        <v>163304</v>
      </c>
      <c r="G63" s="164">
        <f t="shared" si="24"/>
        <v>1959648</v>
      </c>
      <c r="H63" s="221">
        <f t="shared" si="27"/>
        <v>12966576</v>
      </c>
      <c r="I63" s="221"/>
      <c r="J63" s="167">
        <f t="shared" si="29"/>
        <v>26432434</v>
      </c>
      <c r="K63" s="164">
        <f t="shared" si="28"/>
        <v>825108</v>
      </c>
    </row>
    <row r="64" spans="1:19" x14ac:dyDescent="0.25">
      <c r="A64" s="164">
        <v>9</v>
      </c>
      <c r="B64" s="164">
        <f t="shared" si="23"/>
        <v>2066</v>
      </c>
      <c r="C64" s="164">
        <f t="shared" si="25"/>
        <v>29800</v>
      </c>
      <c r="D64" s="165">
        <f t="shared" si="26"/>
        <v>458</v>
      </c>
      <c r="E64" s="166">
        <f t="shared" si="21"/>
        <v>136484</v>
      </c>
      <c r="F64" s="166">
        <f t="shared" si="22"/>
        <v>166284</v>
      </c>
      <c r="G64" s="164">
        <f t="shared" si="24"/>
        <v>1995408</v>
      </c>
      <c r="H64" s="221">
        <f t="shared" si="27"/>
        <v>14961984</v>
      </c>
      <c r="I64" s="221"/>
      <c r="J64" s="167">
        <f t="shared" si="29"/>
        <v>25262134</v>
      </c>
      <c r="K64" s="164">
        <f t="shared" si="28"/>
        <v>825108</v>
      </c>
    </row>
    <row r="65" spans="1:11" x14ac:dyDescent="0.25">
      <c r="A65" s="164">
        <v>10</v>
      </c>
      <c r="B65" s="164">
        <f t="shared" si="23"/>
        <v>2067</v>
      </c>
      <c r="C65" s="164">
        <f t="shared" si="25"/>
        <v>29800</v>
      </c>
      <c r="D65" s="165">
        <f t="shared" si="26"/>
        <v>468</v>
      </c>
      <c r="E65" s="166">
        <f t="shared" si="21"/>
        <v>139464</v>
      </c>
      <c r="F65" s="166">
        <f t="shared" si="22"/>
        <v>169264</v>
      </c>
      <c r="G65" s="164">
        <f t="shared" si="24"/>
        <v>2031168</v>
      </c>
      <c r="H65" s="221">
        <f t="shared" si="27"/>
        <v>16993152</v>
      </c>
      <c r="I65" s="221"/>
      <c r="J65" s="167">
        <f t="shared" si="29"/>
        <v>24056074</v>
      </c>
      <c r="K65" s="164">
        <f t="shared" si="28"/>
        <v>825108</v>
      </c>
    </row>
    <row r="66" spans="1:11" x14ac:dyDescent="0.25">
      <c r="A66" s="164">
        <v>11</v>
      </c>
      <c r="B66" s="164">
        <f t="shared" si="23"/>
        <v>2068</v>
      </c>
      <c r="C66" s="164">
        <f t="shared" si="25"/>
        <v>29800</v>
      </c>
      <c r="D66" s="165">
        <f t="shared" si="26"/>
        <v>478</v>
      </c>
      <c r="E66" s="166">
        <f t="shared" si="21"/>
        <v>142444</v>
      </c>
      <c r="F66" s="166">
        <f t="shared" si="22"/>
        <v>172244</v>
      </c>
      <c r="G66" s="164">
        <f t="shared" si="24"/>
        <v>2066928</v>
      </c>
      <c r="H66" s="221">
        <f t="shared" si="27"/>
        <v>19060080</v>
      </c>
      <c r="I66" s="221"/>
      <c r="J66" s="167">
        <f t="shared" si="29"/>
        <v>22814254</v>
      </c>
      <c r="K66" s="164">
        <f t="shared" si="28"/>
        <v>825108</v>
      </c>
    </row>
    <row r="67" spans="1:11" x14ac:dyDescent="0.25">
      <c r="A67" s="164">
        <v>12</v>
      </c>
      <c r="B67" s="164">
        <f t="shared" si="23"/>
        <v>2069</v>
      </c>
      <c r="C67" s="164">
        <f t="shared" si="25"/>
        <v>29800</v>
      </c>
      <c r="D67" s="165">
        <f t="shared" si="26"/>
        <v>488</v>
      </c>
      <c r="E67" s="166">
        <f t="shared" si="21"/>
        <v>145424</v>
      </c>
      <c r="F67" s="166">
        <f t="shared" si="22"/>
        <v>175224</v>
      </c>
      <c r="G67" s="164">
        <f t="shared" si="24"/>
        <v>2102688</v>
      </c>
      <c r="H67" s="221">
        <f t="shared" si="27"/>
        <v>21162768</v>
      </c>
      <c r="I67" s="221"/>
      <c r="J67" s="167">
        <f t="shared" si="29"/>
        <v>21536674</v>
      </c>
      <c r="K67" s="164">
        <f t="shared" si="28"/>
        <v>825108</v>
      </c>
    </row>
    <row r="68" spans="1:11" x14ac:dyDescent="0.25">
      <c r="A68" s="164">
        <v>13</v>
      </c>
      <c r="B68" s="164">
        <f t="shared" si="23"/>
        <v>2070</v>
      </c>
      <c r="C68" s="164">
        <f t="shared" si="25"/>
        <v>29800</v>
      </c>
      <c r="D68" s="165">
        <f t="shared" si="26"/>
        <v>498</v>
      </c>
      <c r="E68" s="166">
        <f t="shared" si="21"/>
        <v>148404</v>
      </c>
      <c r="F68" s="166">
        <f t="shared" si="22"/>
        <v>178204</v>
      </c>
      <c r="G68" s="164">
        <f t="shared" si="24"/>
        <v>2138448</v>
      </c>
      <c r="H68" s="221">
        <f t="shared" si="27"/>
        <v>23301216</v>
      </c>
      <c r="I68" s="221"/>
      <c r="J68" s="167">
        <f t="shared" si="29"/>
        <v>20223334</v>
      </c>
      <c r="K68" s="164">
        <f t="shared" si="28"/>
        <v>825108</v>
      </c>
    </row>
    <row r="69" spans="1:11" x14ac:dyDescent="0.25">
      <c r="A69" s="164">
        <v>14</v>
      </c>
      <c r="B69" s="164">
        <f t="shared" si="23"/>
        <v>2071</v>
      </c>
      <c r="C69" s="164">
        <f t="shared" si="25"/>
        <v>29800</v>
      </c>
      <c r="D69" s="165">
        <f t="shared" si="26"/>
        <v>508</v>
      </c>
      <c r="E69" s="166">
        <f t="shared" si="21"/>
        <v>151384</v>
      </c>
      <c r="F69" s="166">
        <f t="shared" si="22"/>
        <v>181184</v>
      </c>
      <c r="G69" s="164">
        <f t="shared" si="24"/>
        <v>2174208</v>
      </c>
      <c r="H69" s="221">
        <f t="shared" si="27"/>
        <v>25475424</v>
      </c>
      <c r="I69" s="221"/>
      <c r="J69" s="167">
        <f>+J68-G69+K69</f>
        <v>18874234</v>
      </c>
      <c r="K69" s="164">
        <f t="shared" si="28"/>
        <v>825108</v>
      </c>
    </row>
    <row r="70" spans="1:11" x14ac:dyDescent="0.25">
      <c r="A70" s="164">
        <v>15</v>
      </c>
      <c r="B70" s="164">
        <f t="shared" si="23"/>
        <v>2072</v>
      </c>
      <c r="C70" s="164">
        <f t="shared" si="25"/>
        <v>29800</v>
      </c>
      <c r="D70" s="165">
        <f t="shared" si="26"/>
        <v>518</v>
      </c>
      <c r="E70" s="166">
        <f t="shared" si="21"/>
        <v>154364</v>
      </c>
      <c r="F70" s="166">
        <f t="shared" si="22"/>
        <v>184164</v>
      </c>
      <c r="G70" s="164">
        <f t="shared" si="24"/>
        <v>2209968</v>
      </c>
      <c r="H70" s="221">
        <f t="shared" si="27"/>
        <v>27685392</v>
      </c>
      <c r="I70" s="221"/>
      <c r="J70" s="167">
        <f t="shared" si="29"/>
        <v>17489374</v>
      </c>
      <c r="K70" s="164">
        <f t="shared" si="28"/>
        <v>825108</v>
      </c>
    </row>
    <row r="71" spans="1:11" x14ac:dyDescent="0.25">
      <c r="A71" s="164">
        <v>16</v>
      </c>
      <c r="B71" s="164">
        <f t="shared" si="23"/>
        <v>2073</v>
      </c>
      <c r="C71" s="164">
        <f t="shared" si="25"/>
        <v>29800</v>
      </c>
      <c r="D71" s="165">
        <f t="shared" si="26"/>
        <v>528</v>
      </c>
      <c r="E71" s="166">
        <f t="shared" si="21"/>
        <v>157344</v>
      </c>
      <c r="F71" s="166">
        <f t="shared" si="22"/>
        <v>187144</v>
      </c>
      <c r="G71" s="164">
        <f t="shared" si="24"/>
        <v>2245728</v>
      </c>
      <c r="H71" s="221">
        <f t="shared" si="27"/>
        <v>29931120</v>
      </c>
      <c r="I71" s="221"/>
      <c r="J71" s="167">
        <f>+J70-G71+K71</f>
        <v>16068754</v>
      </c>
      <c r="K71" s="164">
        <f t="shared" si="28"/>
        <v>825108</v>
      </c>
    </row>
    <row r="72" spans="1:11" x14ac:dyDescent="0.25">
      <c r="A72" s="164">
        <v>17</v>
      </c>
      <c r="B72" s="164">
        <f t="shared" si="23"/>
        <v>2074</v>
      </c>
      <c r="C72" s="164">
        <f t="shared" si="25"/>
        <v>29800</v>
      </c>
      <c r="D72" s="165">
        <f t="shared" si="26"/>
        <v>538</v>
      </c>
      <c r="E72" s="166">
        <f t="shared" si="21"/>
        <v>160324</v>
      </c>
      <c r="F72" s="166">
        <f t="shared" si="22"/>
        <v>190124</v>
      </c>
      <c r="G72" s="164">
        <f t="shared" si="24"/>
        <v>2281488</v>
      </c>
      <c r="H72" s="221">
        <f t="shared" si="27"/>
        <v>32212608</v>
      </c>
      <c r="I72" s="221"/>
      <c r="J72" s="167">
        <f>+J71-G72+K72</f>
        <v>14612374</v>
      </c>
      <c r="K72" s="164">
        <f t="shared" si="28"/>
        <v>825108</v>
      </c>
    </row>
    <row r="73" spans="1:11" x14ac:dyDescent="0.25">
      <c r="A73" s="164">
        <v>18</v>
      </c>
      <c r="B73" s="164">
        <f t="shared" si="23"/>
        <v>2075</v>
      </c>
      <c r="C73" s="164">
        <f t="shared" si="25"/>
        <v>29800</v>
      </c>
      <c r="D73" s="165">
        <f t="shared" si="26"/>
        <v>548</v>
      </c>
      <c r="E73" s="166">
        <f t="shared" si="21"/>
        <v>163304</v>
      </c>
      <c r="F73" s="166">
        <f t="shared" si="22"/>
        <v>193104</v>
      </c>
      <c r="G73" s="164">
        <f t="shared" si="24"/>
        <v>2317248</v>
      </c>
      <c r="H73" s="221">
        <f t="shared" si="27"/>
        <v>34529856</v>
      </c>
      <c r="I73" s="221"/>
      <c r="J73" s="167">
        <f>+J72-G73+K73</f>
        <v>13120234</v>
      </c>
      <c r="K73" s="164">
        <f t="shared" si="28"/>
        <v>825108</v>
      </c>
    </row>
    <row r="74" spans="1:11" x14ac:dyDescent="0.25">
      <c r="A74" s="164">
        <v>19</v>
      </c>
      <c r="B74" s="164">
        <f t="shared" si="23"/>
        <v>2076</v>
      </c>
      <c r="C74" s="164">
        <f t="shared" si="25"/>
        <v>29800</v>
      </c>
      <c r="D74" s="165">
        <f t="shared" si="26"/>
        <v>558</v>
      </c>
      <c r="E74" s="166">
        <f t="shared" si="21"/>
        <v>166284</v>
      </c>
      <c r="F74" s="166">
        <f t="shared" si="22"/>
        <v>196084</v>
      </c>
      <c r="G74" s="164">
        <f t="shared" si="24"/>
        <v>2353008</v>
      </c>
      <c r="H74" s="221">
        <f t="shared" si="27"/>
        <v>36882864</v>
      </c>
      <c r="I74" s="221"/>
      <c r="J74" s="167">
        <f>+J73-G74+K74</f>
        <v>11592334</v>
      </c>
      <c r="K74" s="164">
        <f t="shared" si="28"/>
        <v>825108</v>
      </c>
    </row>
    <row r="75" spans="1:11" x14ac:dyDescent="0.25">
      <c r="A75" s="164">
        <v>20</v>
      </c>
      <c r="B75" s="164">
        <f t="shared" si="23"/>
        <v>2077</v>
      </c>
      <c r="C75" s="164">
        <f t="shared" si="25"/>
        <v>29800</v>
      </c>
      <c r="D75" s="165">
        <f t="shared" si="26"/>
        <v>568</v>
      </c>
      <c r="E75" s="166">
        <f t="shared" si="21"/>
        <v>169264</v>
      </c>
      <c r="F75" s="166">
        <f t="shared" si="22"/>
        <v>199064</v>
      </c>
      <c r="G75" s="164">
        <f t="shared" si="24"/>
        <v>2388768</v>
      </c>
      <c r="H75" s="217">
        <f t="shared" si="27"/>
        <v>39271632</v>
      </c>
      <c r="I75" s="217"/>
      <c r="J75" s="167"/>
      <c r="K75" s="164"/>
    </row>
    <row r="77" spans="1:11" x14ac:dyDescent="0.25">
      <c r="G77" s="223"/>
      <c r="H77" s="223"/>
      <c r="I77" s="139"/>
    </row>
  </sheetData>
  <mergeCells count="90">
    <mergeCell ref="J55:J56"/>
    <mergeCell ref="K55:K56"/>
    <mergeCell ref="H69:I69"/>
    <mergeCell ref="H41:L41"/>
    <mergeCell ref="H70:I70"/>
    <mergeCell ref="G55:G56"/>
    <mergeCell ref="G77:H77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75:I75"/>
    <mergeCell ref="A55:A56"/>
    <mergeCell ref="B55:B56"/>
    <mergeCell ref="C55:C56"/>
    <mergeCell ref="E55:E56"/>
    <mergeCell ref="F55:F56"/>
    <mergeCell ref="H71:I71"/>
    <mergeCell ref="H72:I72"/>
    <mergeCell ref="H73:I73"/>
    <mergeCell ref="H74:I74"/>
    <mergeCell ref="H55:I56"/>
    <mergeCell ref="P44:Q44"/>
    <mergeCell ref="R44:S44"/>
    <mergeCell ref="R50:S50"/>
    <mergeCell ref="P45:Q45"/>
    <mergeCell ref="R45:S45"/>
    <mergeCell ref="P46:Q46"/>
    <mergeCell ref="R46:S46"/>
    <mergeCell ref="O47:S47"/>
    <mergeCell ref="R48:S48"/>
    <mergeCell ref="R49:S49"/>
    <mergeCell ref="O48:Q48"/>
    <mergeCell ref="O49:Q49"/>
    <mergeCell ref="O50:Q50"/>
    <mergeCell ref="K44:L44"/>
    <mergeCell ref="H45:L45"/>
    <mergeCell ref="H46:L46"/>
    <mergeCell ref="B48:F48"/>
    <mergeCell ref="B49:D49"/>
    <mergeCell ref="E49:F49"/>
    <mergeCell ref="C45:D45"/>
    <mergeCell ref="C47:D47"/>
    <mergeCell ref="E47:F47"/>
    <mergeCell ref="B51:D51"/>
    <mergeCell ref="E51:F51"/>
    <mergeCell ref="H42:J42"/>
    <mergeCell ref="H43:J43"/>
    <mergeCell ref="H44:J44"/>
    <mergeCell ref="B50:D50"/>
    <mergeCell ref="E50:F50"/>
    <mergeCell ref="C44:D44"/>
    <mergeCell ref="E44:F44"/>
    <mergeCell ref="E45:F45"/>
    <mergeCell ref="C46:D46"/>
    <mergeCell ref="E46:F46"/>
    <mergeCell ref="P1:P2"/>
    <mergeCell ref="Q1:Q2"/>
    <mergeCell ref="R1:R2"/>
    <mergeCell ref="B42:F42"/>
    <mergeCell ref="C43:D43"/>
    <mergeCell ref="E43:F43"/>
    <mergeCell ref="K42:L42"/>
    <mergeCell ref="K43:L43"/>
    <mergeCell ref="P42:Q42"/>
    <mergeCell ref="R42:S42"/>
    <mergeCell ref="P43:Q43"/>
    <mergeCell ref="R43:S43"/>
    <mergeCell ref="O41:S41"/>
    <mergeCell ref="A3:N3"/>
    <mergeCell ref="A1:A2"/>
    <mergeCell ref="B1:B2"/>
    <mergeCell ref="C1:C2"/>
    <mergeCell ref="E1:E2"/>
    <mergeCell ref="F1:F2"/>
    <mergeCell ref="G1:G2"/>
    <mergeCell ref="H1:H2"/>
    <mergeCell ref="I1:I2"/>
    <mergeCell ref="J1:J2"/>
    <mergeCell ref="K1:K2"/>
    <mergeCell ref="L1:L2"/>
    <mergeCell ref="N1:N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BF56-042C-4640-A314-66D7C77EF90F}">
  <dimension ref="A1:S77"/>
  <sheetViews>
    <sheetView topLeftCell="A28" zoomScale="160" zoomScaleNormal="160" workbookViewId="0">
      <selection activeCell="F39" sqref="F39"/>
    </sheetView>
  </sheetViews>
  <sheetFormatPr defaultRowHeight="15" x14ac:dyDescent="0.25"/>
  <cols>
    <col min="1" max="1" width="4.28515625" style="137" customWidth="1"/>
    <col min="2" max="2" width="5.7109375" style="137" customWidth="1"/>
    <col min="3" max="3" width="8.42578125" style="137" bestFit="1" customWidth="1"/>
    <col min="4" max="4" width="4.42578125" style="137" bestFit="1" customWidth="1"/>
    <col min="5" max="8" width="8.42578125" style="137" bestFit="1" customWidth="1"/>
    <col min="9" max="9" width="8.7109375" style="137" customWidth="1"/>
    <col min="10" max="10" width="13.140625" style="137" customWidth="1"/>
    <col min="11" max="11" width="10.28515625" style="137" customWidth="1"/>
    <col min="12" max="12" width="9.5703125" style="137" bestFit="1" customWidth="1"/>
    <col min="13" max="13" width="9.5703125" style="137" customWidth="1"/>
    <col min="14" max="14" width="12" style="137" bestFit="1" customWidth="1"/>
    <col min="15" max="15" width="10.28515625" style="137" bestFit="1" customWidth="1"/>
    <col min="16" max="16" width="9.28515625" style="137" bestFit="1" customWidth="1"/>
    <col min="17" max="17" width="10.28515625" style="137" bestFit="1" customWidth="1"/>
    <col min="18" max="18" width="12" style="137" bestFit="1" customWidth="1"/>
    <col min="19" max="16384" width="9.140625" style="137"/>
  </cols>
  <sheetData>
    <row r="1" spans="1:18" ht="15" customHeight="1" x14ac:dyDescent="0.25">
      <c r="A1" s="189" t="s">
        <v>167</v>
      </c>
      <c r="B1" s="189" t="s">
        <v>168</v>
      </c>
      <c r="C1" s="189" t="s">
        <v>169</v>
      </c>
      <c r="D1" s="160" t="s">
        <v>172</v>
      </c>
      <c r="E1" s="189" t="s">
        <v>170</v>
      </c>
      <c r="F1" s="189" t="s">
        <v>171</v>
      </c>
      <c r="G1" s="189">
        <v>0.1</v>
      </c>
      <c r="H1" s="189">
        <v>0.14000000000000001</v>
      </c>
      <c r="I1" s="189" t="s">
        <v>173</v>
      </c>
      <c r="J1" s="189" t="s">
        <v>192</v>
      </c>
      <c r="K1" s="189" t="s">
        <v>181</v>
      </c>
      <c r="L1" s="189" t="s">
        <v>179</v>
      </c>
      <c r="M1" s="156" t="s">
        <v>180</v>
      </c>
      <c r="N1" s="189" t="s">
        <v>7</v>
      </c>
      <c r="O1" s="156" t="s">
        <v>8</v>
      </c>
      <c r="P1" s="189" t="s">
        <v>10</v>
      </c>
      <c r="Q1" s="189" t="s">
        <v>16</v>
      </c>
      <c r="R1" s="189" t="s">
        <v>33</v>
      </c>
    </row>
    <row r="2" spans="1:18" ht="9.75" customHeight="1" thickBot="1" x14ac:dyDescent="0.3">
      <c r="A2" s="190"/>
      <c r="B2" s="190"/>
      <c r="C2" s="190"/>
      <c r="D2" s="157">
        <v>8</v>
      </c>
      <c r="E2" s="190"/>
      <c r="F2" s="190"/>
      <c r="G2" s="190"/>
      <c r="H2" s="190"/>
      <c r="I2" s="190"/>
      <c r="J2" s="190"/>
      <c r="K2" s="190"/>
      <c r="L2" s="190"/>
      <c r="M2" s="158">
        <v>0.04</v>
      </c>
      <c r="N2" s="190"/>
      <c r="O2" s="159">
        <v>1.04</v>
      </c>
      <c r="P2" s="190"/>
      <c r="Q2" s="190"/>
      <c r="R2" s="190"/>
    </row>
    <row r="3" spans="1:18" ht="15.75" x14ac:dyDescent="0.25">
      <c r="A3" s="202" t="s">
        <v>175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152">
        <f>811709+300000</f>
        <v>1111709</v>
      </c>
      <c r="P3" s="153">
        <f>ROUND(O3*36%,0)</f>
        <v>400215</v>
      </c>
      <c r="Q3" s="153">
        <f>ROUND(O3*64%,0)</f>
        <v>711494</v>
      </c>
      <c r="R3" s="154"/>
    </row>
    <row r="4" spans="1:18" x14ac:dyDescent="0.25">
      <c r="A4" s="148">
        <v>1</v>
      </c>
      <c r="B4" s="148">
        <v>2026</v>
      </c>
      <c r="C4" s="148">
        <f>23100*2</f>
        <v>46200</v>
      </c>
      <c r="D4" s="148">
        <v>0</v>
      </c>
      <c r="E4" s="148">
        <f>+ROUND(C4*D4/100,0)</f>
        <v>0</v>
      </c>
      <c r="F4" s="149">
        <f>+C4+E4</f>
        <v>46200</v>
      </c>
      <c r="G4" s="148">
        <f>ROUND(F4*0.1,0)</f>
        <v>4620</v>
      </c>
      <c r="H4" s="148">
        <f>ROUND(F4*0.14,0)</f>
        <v>6468</v>
      </c>
      <c r="I4" s="148">
        <f>+G4+H4</f>
        <v>11088</v>
      </c>
      <c r="J4" s="148">
        <f>(G4*12)+P3</f>
        <v>455655</v>
      </c>
      <c r="K4" s="148">
        <f>(+H4*12)+Q3</f>
        <v>789110</v>
      </c>
      <c r="L4" s="148">
        <f>+J4+K4</f>
        <v>1244765</v>
      </c>
      <c r="M4" s="148">
        <f>ROUND(L4*$M$2,0)</f>
        <v>49791</v>
      </c>
      <c r="N4" s="148">
        <f>+L4+M4</f>
        <v>1294556</v>
      </c>
      <c r="O4" s="150">
        <v>40</v>
      </c>
      <c r="P4" s="150">
        <f>+L4/O4</f>
        <v>31119.125</v>
      </c>
      <c r="Q4" s="150">
        <f>+P4</f>
        <v>31119.125</v>
      </c>
      <c r="R4" s="151">
        <f>+Q4*O4</f>
        <v>1244765</v>
      </c>
    </row>
    <row r="5" spans="1:18" x14ac:dyDescent="0.25">
      <c r="A5" s="140">
        <v>2</v>
      </c>
      <c r="B5" s="140">
        <v>2027</v>
      </c>
      <c r="C5" s="141">
        <f>+IF(CEILING(C4*3%,100)-ROUND(C4*3%,0)&lt;=50,CEILING(C4*3%,100),CEILING(C4*3%,100)-100)+C4</f>
        <v>47600</v>
      </c>
      <c r="D5" s="141">
        <f>+D4+$D$2</f>
        <v>8</v>
      </c>
      <c r="E5" s="140">
        <f>+ROUND(C5*D5/100,0)</f>
        <v>3808</v>
      </c>
      <c r="F5" s="140">
        <f>C5+E5</f>
        <v>51408</v>
      </c>
      <c r="G5" s="140">
        <f>ROUND(F5*0.1,0)</f>
        <v>5141</v>
      </c>
      <c r="H5" s="140">
        <f>ROUND(F5*0.14,0)</f>
        <v>7197</v>
      </c>
      <c r="I5" s="140">
        <f t="shared" ref="I5:I36" si="0">+G5+H5</f>
        <v>12338</v>
      </c>
      <c r="J5" s="140">
        <f t="shared" ref="J5:K36" si="1">+G5*12</f>
        <v>61692</v>
      </c>
      <c r="K5" s="140">
        <f t="shared" si="1"/>
        <v>86364</v>
      </c>
      <c r="L5" s="140">
        <f>+J5+K5</f>
        <v>148056</v>
      </c>
      <c r="M5" s="148">
        <f>ROUND((L5+N4)*$M$2,0)</f>
        <v>57704</v>
      </c>
      <c r="N5" s="140">
        <f>+L5+N4+M5</f>
        <v>1500316</v>
      </c>
      <c r="O5" s="144">
        <f>+O4*$O$2</f>
        <v>41.6</v>
      </c>
      <c r="P5" s="144">
        <f>+L5/O5</f>
        <v>3559.0384615384614</v>
      </c>
      <c r="Q5" s="144">
        <f>+Q4+P5</f>
        <v>34678.163461538461</v>
      </c>
      <c r="R5" s="145">
        <f>+Q5*O5</f>
        <v>1442611.6</v>
      </c>
    </row>
    <row r="6" spans="1:18" x14ac:dyDescent="0.25">
      <c r="A6" s="140">
        <v>3</v>
      </c>
      <c r="B6" s="140">
        <v>2028</v>
      </c>
      <c r="C6" s="141">
        <f>+IF(CEILING(C5*3%,100)-ROUND(C5*3%,0)&lt;=50,CEILING(C5*3%,100),CEILING(C5*3%,100)-100)+C5</f>
        <v>49000</v>
      </c>
      <c r="D6" s="141">
        <f t="shared" ref="D6:D36" si="2">+D5+$D$2</f>
        <v>16</v>
      </c>
      <c r="E6" s="140">
        <f t="shared" ref="E6:E36" si="3">+ROUND(C6*D6/100,0)</f>
        <v>7840</v>
      </c>
      <c r="F6" s="140">
        <f t="shared" ref="F6:F36" si="4">C6+E6</f>
        <v>56840</v>
      </c>
      <c r="G6" s="140">
        <f t="shared" ref="G6:G36" si="5">ROUND(F6*0.1,0)</f>
        <v>5684</v>
      </c>
      <c r="H6" s="140">
        <f t="shared" ref="H6:H36" si="6">ROUND(F6*0.14,0)</f>
        <v>7958</v>
      </c>
      <c r="I6" s="140">
        <f t="shared" si="0"/>
        <v>13642</v>
      </c>
      <c r="J6" s="140">
        <f t="shared" si="1"/>
        <v>68208</v>
      </c>
      <c r="K6" s="140">
        <f t="shared" si="1"/>
        <v>95496</v>
      </c>
      <c r="L6" s="140">
        <f>+J6+K6</f>
        <v>163704</v>
      </c>
      <c r="M6" s="148">
        <f>ROUND((L6+N5)*$M$2,0)</f>
        <v>66561</v>
      </c>
      <c r="N6" s="140">
        <f t="shared" ref="N6:N7" si="7">+L6+N5+M6</f>
        <v>1730581</v>
      </c>
      <c r="O6" s="144">
        <f>+O5*$O$2</f>
        <v>43.264000000000003</v>
      </c>
      <c r="P6" s="144">
        <f t="shared" ref="P6:P35" si="8">+L6/O6</f>
        <v>3783.8387573964496</v>
      </c>
      <c r="Q6" s="144">
        <f t="shared" ref="Q6:Q35" si="9">+Q5+P6</f>
        <v>38462.002218934911</v>
      </c>
      <c r="R6" s="145">
        <f t="shared" ref="R6:R35" si="10">+Q6*O6</f>
        <v>1664020.064</v>
      </c>
    </row>
    <row r="7" spans="1:18" x14ac:dyDescent="0.25">
      <c r="A7" s="140">
        <v>4</v>
      </c>
      <c r="B7" s="140">
        <v>2029</v>
      </c>
      <c r="C7" s="141">
        <f>+IF(CEILING(C6*3%,100)-ROUND(C6*3%,0)&lt;=50,CEILING(C6*3%,100),CEILING(C6*3%,100)-100)+C6</f>
        <v>50500</v>
      </c>
      <c r="D7" s="141">
        <f t="shared" si="2"/>
        <v>24</v>
      </c>
      <c r="E7" s="140">
        <f>+ROUND(C7*D7/100,0)</f>
        <v>12120</v>
      </c>
      <c r="F7" s="140">
        <f>C7+E7</f>
        <v>62620</v>
      </c>
      <c r="G7" s="140">
        <f t="shared" si="5"/>
        <v>6262</v>
      </c>
      <c r="H7" s="140">
        <f t="shared" si="6"/>
        <v>8767</v>
      </c>
      <c r="I7" s="140">
        <f t="shared" si="0"/>
        <v>15029</v>
      </c>
      <c r="J7" s="140">
        <f t="shared" si="1"/>
        <v>75144</v>
      </c>
      <c r="K7" s="140">
        <f t="shared" si="1"/>
        <v>105204</v>
      </c>
      <c r="L7" s="140">
        <f t="shared" ref="L7:L36" si="11">+J7+K7</f>
        <v>180348</v>
      </c>
      <c r="M7" s="148">
        <f t="shared" ref="M7:M36" si="12">ROUND((L7+N6)*$M$2,0)</f>
        <v>76437</v>
      </c>
      <c r="N7" s="140">
        <f t="shared" si="7"/>
        <v>1987366</v>
      </c>
      <c r="O7" s="144">
        <f t="shared" ref="O7:O36" si="13">+O6*$O$2</f>
        <v>44.994560000000007</v>
      </c>
      <c r="P7" s="144">
        <f t="shared" si="8"/>
        <v>4008.2178823395534</v>
      </c>
      <c r="Q7" s="144">
        <f t="shared" si="9"/>
        <v>42470.220101274463</v>
      </c>
      <c r="R7" s="145">
        <f t="shared" si="10"/>
        <v>1910928.8665600002</v>
      </c>
    </row>
    <row r="8" spans="1:18" x14ac:dyDescent="0.25">
      <c r="A8" s="140">
        <v>5</v>
      </c>
      <c r="B8" s="140">
        <v>2030</v>
      </c>
      <c r="C8" s="141">
        <f t="shared" ref="C8:C36" si="14">+IF(CEILING(C7*3%,100)-ROUND(C7*3%,0)&lt;=50,CEILING(C7*3%,100),CEILING(C7*3%,100)-100)+C7</f>
        <v>52000</v>
      </c>
      <c r="D8" s="141">
        <f t="shared" si="2"/>
        <v>32</v>
      </c>
      <c r="E8" s="140">
        <f t="shared" si="3"/>
        <v>16640</v>
      </c>
      <c r="F8" s="140">
        <f t="shared" si="4"/>
        <v>68640</v>
      </c>
      <c r="G8" s="140">
        <f t="shared" si="5"/>
        <v>6864</v>
      </c>
      <c r="H8" s="140">
        <f t="shared" si="6"/>
        <v>9610</v>
      </c>
      <c r="I8" s="140">
        <f t="shared" si="0"/>
        <v>16474</v>
      </c>
      <c r="J8" s="140">
        <f t="shared" si="1"/>
        <v>82368</v>
      </c>
      <c r="K8" s="140">
        <f t="shared" si="1"/>
        <v>115320</v>
      </c>
      <c r="L8" s="140">
        <f t="shared" si="11"/>
        <v>197688</v>
      </c>
      <c r="M8" s="148">
        <f t="shared" si="12"/>
        <v>87402</v>
      </c>
      <c r="N8" s="140">
        <f>+L8+N7+M8</f>
        <v>2272456</v>
      </c>
      <c r="O8" s="144">
        <f t="shared" si="13"/>
        <v>46.794342400000012</v>
      </c>
      <c r="P8" s="144">
        <f t="shared" si="8"/>
        <v>4224.6132729071096</v>
      </c>
      <c r="Q8" s="144">
        <f t="shared" si="9"/>
        <v>46694.833374181573</v>
      </c>
      <c r="R8" s="145">
        <f t="shared" si="10"/>
        <v>2185054.0212224005</v>
      </c>
    </row>
    <row r="9" spans="1:18" x14ac:dyDescent="0.25">
      <c r="A9" s="140">
        <v>6</v>
      </c>
      <c r="B9" s="140">
        <v>2031</v>
      </c>
      <c r="C9" s="141">
        <f t="shared" si="14"/>
        <v>53600</v>
      </c>
      <c r="D9" s="141">
        <f t="shared" si="2"/>
        <v>40</v>
      </c>
      <c r="E9" s="140">
        <f t="shared" si="3"/>
        <v>21440</v>
      </c>
      <c r="F9" s="140">
        <f t="shared" si="4"/>
        <v>75040</v>
      </c>
      <c r="G9" s="140">
        <f t="shared" si="5"/>
        <v>7504</v>
      </c>
      <c r="H9" s="140">
        <f t="shared" si="6"/>
        <v>10506</v>
      </c>
      <c r="I9" s="140">
        <f t="shared" si="0"/>
        <v>18010</v>
      </c>
      <c r="J9" s="140">
        <f t="shared" si="1"/>
        <v>90048</v>
      </c>
      <c r="K9" s="140">
        <f t="shared" si="1"/>
        <v>126072</v>
      </c>
      <c r="L9" s="140">
        <f t="shared" si="11"/>
        <v>216120</v>
      </c>
      <c r="M9" s="148">
        <f t="shared" si="12"/>
        <v>99543</v>
      </c>
      <c r="N9" s="140">
        <f t="shared" ref="N9:N36" si="15">+L9+N8+M9</f>
        <v>2588119</v>
      </c>
      <c r="O9" s="144">
        <f>+O8*$O$2</f>
        <v>48.666116096000017</v>
      </c>
      <c r="P9" s="144">
        <f t="shared" si="8"/>
        <v>4440.872157820776</v>
      </c>
      <c r="Q9" s="144">
        <f t="shared" si="9"/>
        <v>51135.70553200235</v>
      </c>
      <c r="R9" s="145">
        <f>+Q9*O9</f>
        <v>2488576.1820712965</v>
      </c>
    </row>
    <row r="10" spans="1:18" x14ac:dyDescent="0.25">
      <c r="A10" s="140">
        <v>7</v>
      </c>
      <c r="B10" s="140">
        <v>2032</v>
      </c>
      <c r="C10" s="141">
        <f t="shared" si="14"/>
        <v>55200</v>
      </c>
      <c r="D10" s="141">
        <f t="shared" si="2"/>
        <v>48</v>
      </c>
      <c r="E10" s="140">
        <f t="shared" si="3"/>
        <v>26496</v>
      </c>
      <c r="F10" s="140">
        <f t="shared" si="4"/>
        <v>81696</v>
      </c>
      <c r="G10" s="140">
        <f t="shared" si="5"/>
        <v>8170</v>
      </c>
      <c r="H10" s="140">
        <f t="shared" si="6"/>
        <v>11437</v>
      </c>
      <c r="I10" s="140">
        <f t="shared" si="0"/>
        <v>19607</v>
      </c>
      <c r="J10" s="140">
        <f t="shared" si="1"/>
        <v>98040</v>
      </c>
      <c r="K10" s="140">
        <f t="shared" si="1"/>
        <v>137244</v>
      </c>
      <c r="L10" s="140">
        <f t="shared" si="11"/>
        <v>235284</v>
      </c>
      <c r="M10" s="148">
        <f t="shared" si="12"/>
        <v>112936</v>
      </c>
      <c r="N10" s="140">
        <f t="shared" si="15"/>
        <v>2936339</v>
      </c>
      <c r="O10" s="144">
        <f t="shared" si="13"/>
        <v>50.61276073984002</v>
      </c>
      <c r="P10" s="144">
        <f t="shared" si="8"/>
        <v>4648.7090717972897</v>
      </c>
      <c r="Q10" s="144">
        <f t="shared" si="9"/>
        <v>55784.41460379964</v>
      </c>
      <c r="R10" s="145">
        <f t="shared" si="10"/>
        <v>2823403.2293541487</v>
      </c>
    </row>
    <row r="11" spans="1:18" x14ac:dyDescent="0.25">
      <c r="A11" s="140">
        <v>8</v>
      </c>
      <c r="B11" s="140">
        <v>2033</v>
      </c>
      <c r="C11" s="141">
        <f t="shared" si="14"/>
        <v>56900</v>
      </c>
      <c r="D11" s="141">
        <f t="shared" si="2"/>
        <v>56</v>
      </c>
      <c r="E11" s="140">
        <f t="shared" si="3"/>
        <v>31864</v>
      </c>
      <c r="F11" s="140">
        <f t="shared" si="4"/>
        <v>88764</v>
      </c>
      <c r="G11" s="140">
        <f t="shared" si="5"/>
        <v>8876</v>
      </c>
      <c r="H11" s="140">
        <f t="shared" si="6"/>
        <v>12427</v>
      </c>
      <c r="I11" s="140">
        <f t="shared" si="0"/>
        <v>21303</v>
      </c>
      <c r="J11" s="140">
        <f t="shared" si="1"/>
        <v>106512</v>
      </c>
      <c r="K11" s="140">
        <f t="shared" si="1"/>
        <v>149124</v>
      </c>
      <c r="L11" s="140">
        <f t="shared" si="11"/>
        <v>255636</v>
      </c>
      <c r="M11" s="148">
        <f t="shared" si="12"/>
        <v>127679</v>
      </c>
      <c r="N11" s="140">
        <f t="shared" si="15"/>
        <v>3319654</v>
      </c>
      <c r="O11" s="144">
        <f t="shared" si="13"/>
        <v>52.637271169433625</v>
      </c>
      <c r="P11" s="144">
        <f t="shared" si="8"/>
        <v>4856.5587523930644</v>
      </c>
      <c r="Q11" s="144">
        <f t="shared" si="9"/>
        <v>60640.973356192706</v>
      </c>
      <c r="R11" s="145">
        <f t="shared" si="10"/>
        <v>3191975.3585283151</v>
      </c>
    </row>
    <row r="12" spans="1:18" x14ac:dyDescent="0.25">
      <c r="A12" s="140">
        <v>9</v>
      </c>
      <c r="B12" s="140">
        <v>2034</v>
      </c>
      <c r="C12" s="141">
        <f t="shared" si="14"/>
        <v>58600</v>
      </c>
      <c r="D12" s="141">
        <f t="shared" si="2"/>
        <v>64</v>
      </c>
      <c r="E12" s="140">
        <f t="shared" si="3"/>
        <v>37504</v>
      </c>
      <c r="F12" s="140">
        <f t="shared" si="4"/>
        <v>96104</v>
      </c>
      <c r="G12" s="140">
        <f t="shared" si="5"/>
        <v>9610</v>
      </c>
      <c r="H12" s="140">
        <f t="shared" si="6"/>
        <v>13455</v>
      </c>
      <c r="I12" s="140">
        <f t="shared" si="0"/>
        <v>23065</v>
      </c>
      <c r="J12" s="140">
        <f t="shared" si="1"/>
        <v>115320</v>
      </c>
      <c r="K12" s="140">
        <f t="shared" si="1"/>
        <v>161460</v>
      </c>
      <c r="L12" s="140">
        <f t="shared" si="11"/>
        <v>276780</v>
      </c>
      <c r="M12" s="148">
        <f t="shared" si="12"/>
        <v>143857</v>
      </c>
      <c r="N12" s="140">
        <f t="shared" si="15"/>
        <v>3740291</v>
      </c>
      <c r="O12" s="144">
        <f t="shared" si="13"/>
        <v>54.742762016210975</v>
      </c>
      <c r="P12" s="144">
        <f t="shared" si="8"/>
        <v>5056.0108735112253</v>
      </c>
      <c r="Q12" s="144">
        <f t="shared" si="9"/>
        <v>65696.984229703929</v>
      </c>
      <c r="R12" s="145">
        <f t="shared" si="10"/>
        <v>3596434.3728694478</v>
      </c>
    </row>
    <row r="13" spans="1:18" x14ac:dyDescent="0.25">
      <c r="A13" s="140">
        <v>10</v>
      </c>
      <c r="B13" s="140">
        <v>2035</v>
      </c>
      <c r="C13" s="141">
        <f t="shared" si="14"/>
        <v>60400</v>
      </c>
      <c r="D13" s="141">
        <f t="shared" si="2"/>
        <v>72</v>
      </c>
      <c r="E13" s="140">
        <f t="shared" si="3"/>
        <v>43488</v>
      </c>
      <c r="F13" s="140">
        <f t="shared" si="4"/>
        <v>103888</v>
      </c>
      <c r="G13" s="140">
        <f t="shared" si="5"/>
        <v>10389</v>
      </c>
      <c r="H13" s="140">
        <f t="shared" si="6"/>
        <v>14544</v>
      </c>
      <c r="I13" s="140">
        <f t="shared" si="0"/>
        <v>24933</v>
      </c>
      <c r="J13" s="140">
        <f t="shared" si="1"/>
        <v>124668</v>
      </c>
      <c r="K13" s="140">
        <f t="shared" si="1"/>
        <v>174528</v>
      </c>
      <c r="L13" s="140">
        <f t="shared" si="11"/>
        <v>299196</v>
      </c>
      <c r="M13" s="148">
        <f t="shared" si="12"/>
        <v>161579</v>
      </c>
      <c r="N13" s="140">
        <f t="shared" si="15"/>
        <v>4201066</v>
      </c>
      <c r="O13" s="144">
        <f t="shared" si="13"/>
        <v>56.932472496859418</v>
      </c>
      <c r="P13" s="144">
        <f t="shared" si="8"/>
        <v>5255.2785234560934</v>
      </c>
      <c r="Q13" s="144">
        <f t="shared" si="9"/>
        <v>70952.262753160016</v>
      </c>
      <c r="R13" s="145">
        <f t="shared" si="10"/>
        <v>4039487.7477842253</v>
      </c>
    </row>
    <row r="14" spans="1:18" x14ac:dyDescent="0.25">
      <c r="A14" s="140">
        <v>11</v>
      </c>
      <c r="B14" s="140">
        <v>2036</v>
      </c>
      <c r="C14" s="141">
        <f t="shared" si="14"/>
        <v>62200</v>
      </c>
      <c r="D14" s="141">
        <f t="shared" si="2"/>
        <v>80</v>
      </c>
      <c r="E14" s="140">
        <f t="shared" si="3"/>
        <v>49760</v>
      </c>
      <c r="F14" s="140">
        <f t="shared" si="4"/>
        <v>111960</v>
      </c>
      <c r="G14" s="140">
        <f t="shared" si="5"/>
        <v>11196</v>
      </c>
      <c r="H14" s="140">
        <f t="shared" si="6"/>
        <v>15674</v>
      </c>
      <c r="I14" s="140">
        <f t="shared" si="0"/>
        <v>26870</v>
      </c>
      <c r="J14" s="140">
        <f t="shared" si="1"/>
        <v>134352</v>
      </c>
      <c r="K14" s="140">
        <f t="shared" si="1"/>
        <v>188088</v>
      </c>
      <c r="L14" s="140">
        <f t="shared" si="11"/>
        <v>322440</v>
      </c>
      <c r="M14" s="148">
        <f t="shared" si="12"/>
        <v>180940</v>
      </c>
      <c r="N14" s="140">
        <f t="shared" si="15"/>
        <v>4704446</v>
      </c>
      <c r="O14" s="144">
        <f t="shared" si="13"/>
        <v>59.2097713967338</v>
      </c>
      <c r="P14" s="144">
        <f t="shared" si="8"/>
        <v>5445.7227649047609</v>
      </c>
      <c r="Q14" s="144">
        <f t="shared" si="9"/>
        <v>76397.985518064772</v>
      </c>
      <c r="R14" s="145">
        <f t="shared" si="10"/>
        <v>4523507.2576955948</v>
      </c>
    </row>
    <row r="15" spans="1:18" x14ac:dyDescent="0.25">
      <c r="A15" s="140">
        <v>12</v>
      </c>
      <c r="B15" s="140">
        <v>2037</v>
      </c>
      <c r="C15" s="141">
        <f t="shared" si="14"/>
        <v>64100</v>
      </c>
      <c r="D15" s="141">
        <f t="shared" si="2"/>
        <v>88</v>
      </c>
      <c r="E15" s="140">
        <f t="shared" si="3"/>
        <v>56408</v>
      </c>
      <c r="F15" s="140">
        <f t="shared" si="4"/>
        <v>120508</v>
      </c>
      <c r="G15" s="140">
        <f t="shared" si="5"/>
        <v>12051</v>
      </c>
      <c r="H15" s="140">
        <f t="shared" si="6"/>
        <v>16871</v>
      </c>
      <c r="I15" s="140">
        <f t="shared" si="0"/>
        <v>28922</v>
      </c>
      <c r="J15" s="140">
        <f t="shared" si="1"/>
        <v>144612</v>
      </c>
      <c r="K15" s="140">
        <f t="shared" si="1"/>
        <v>202452</v>
      </c>
      <c r="L15" s="140">
        <f t="shared" si="11"/>
        <v>347064</v>
      </c>
      <c r="M15" s="148">
        <f t="shared" si="12"/>
        <v>202060</v>
      </c>
      <c r="N15" s="140">
        <f t="shared" si="15"/>
        <v>5253570</v>
      </c>
      <c r="O15" s="144">
        <f t="shared" si="13"/>
        <v>61.578162252603157</v>
      </c>
      <c r="P15" s="144">
        <f t="shared" si="8"/>
        <v>5636.1539108018478</v>
      </c>
      <c r="Q15" s="144">
        <f t="shared" si="9"/>
        <v>82034.13942886662</v>
      </c>
      <c r="R15" s="145">
        <f t="shared" si="10"/>
        <v>5051511.5480034184</v>
      </c>
    </row>
    <row r="16" spans="1:18" x14ac:dyDescent="0.25">
      <c r="A16" s="140">
        <v>13</v>
      </c>
      <c r="B16" s="140">
        <v>2038</v>
      </c>
      <c r="C16" s="141">
        <f t="shared" si="14"/>
        <v>66000</v>
      </c>
      <c r="D16" s="141">
        <f t="shared" si="2"/>
        <v>96</v>
      </c>
      <c r="E16" s="140">
        <f t="shared" si="3"/>
        <v>63360</v>
      </c>
      <c r="F16" s="140">
        <f t="shared" si="4"/>
        <v>129360</v>
      </c>
      <c r="G16" s="140">
        <f t="shared" si="5"/>
        <v>12936</v>
      </c>
      <c r="H16" s="140">
        <f t="shared" si="6"/>
        <v>18110</v>
      </c>
      <c r="I16" s="140">
        <f t="shared" si="0"/>
        <v>31046</v>
      </c>
      <c r="J16" s="140">
        <f t="shared" si="1"/>
        <v>155232</v>
      </c>
      <c r="K16" s="140">
        <f t="shared" si="1"/>
        <v>217320</v>
      </c>
      <c r="L16" s="140">
        <f t="shared" si="11"/>
        <v>372552</v>
      </c>
      <c r="M16" s="148">
        <f t="shared" si="12"/>
        <v>225045</v>
      </c>
      <c r="N16" s="140">
        <f t="shared" si="15"/>
        <v>5851167</v>
      </c>
      <c r="O16" s="144">
        <f t="shared" si="13"/>
        <v>64.04128874270728</v>
      </c>
      <c r="P16" s="144">
        <f t="shared" si="8"/>
        <v>5817.3720003788094</v>
      </c>
      <c r="Q16" s="144">
        <f t="shared" si="9"/>
        <v>87851.511429245424</v>
      </c>
      <c r="R16" s="145">
        <f t="shared" si="10"/>
        <v>5626124.009923555</v>
      </c>
    </row>
    <row r="17" spans="1:18" x14ac:dyDescent="0.25">
      <c r="A17" s="140">
        <v>14</v>
      </c>
      <c r="B17" s="140">
        <v>2039</v>
      </c>
      <c r="C17" s="141">
        <f t="shared" si="14"/>
        <v>68000</v>
      </c>
      <c r="D17" s="141">
        <f t="shared" si="2"/>
        <v>104</v>
      </c>
      <c r="E17" s="140">
        <f t="shared" si="3"/>
        <v>70720</v>
      </c>
      <c r="F17" s="140">
        <f t="shared" si="4"/>
        <v>138720</v>
      </c>
      <c r="G17" s="140">
        <f t="shared" si="5"/>
        <v>13872</v>
      </c>
      <c r="H17" s="140">
        <f t="shared" si="6"/>
        <v>19421</v>
      </c>
      <c r="I17" s="140">
        <f t="shared" si="0"/>
        <v>33293</v>
      </c>
      <c r="J17" s="140">
        <f t="shared" si="1"/>
        <v>166464</v>
      </c>
      <c r="K17" s="140">
        <f t="shared" si="1"/>
        <v>233052</v>
      </c>
      <c r="L17" s="140">
        <f t="shared" si="11"/>
        <v>399516</v>
      </c>
      <c r="M17" s="148">
        <f t="shared" si="12"/>
        <v>250027</v>
      </c>
      <c r="N17" s="140">
        <f t="shared" si="15"/>
        <v>6500710</v>
      </c>
      <c r="O17" s="144">
        <f t="shared" si="13"/>
        <v>66.602940292415568</v>
      </c>
      <c r="P17" s="144">
        <f t="shared" si="8"/>
        <v>5998.4739149045499</v>
      </c>
      <c r="Q17" s="144">
        <f t="shared" si="9"/>
        <v>93849.985344149973</v>
      </c>
      <c r="R17" s="145">
        <f t="shared" si="10"/>
        <v>6250684.9703204967</v>
      </c>
    </row>
    <row r="18" spans="1:18" x14ac:dyDescent="0.25">
      <c r="A18" s="140">
        <v>15</v>
      </c>
      <c r="B18" s="140">
        <v>2040</v>
      </c>
      <c r="C18" s="141">
        <f t="shared" si="14"/>
        <v>70000</v>
      </c>
      <c r="D18" s="141">
        <f t="shared" si="2"/>
        <v>112</v>
      </c>
      <c r="E18" s="140">
        <f t="shared" si="3"/>
        <v>78400</v>
      </c>
      <c r="F18" s="140">
        <f t="shared" si="4"/>
        <v>148400</v>
      </c>
      <c r="G18" s="140">
        <f t="shared" si="5"/>
        <v>14840</v>
      </c>
      <c r="H18" s="140">
        <f t="shared" si="6"/>
        <v>20776</v>
      </c>
      <c r="I18" s="140">
        <f t="shared" si="0"/>
        <v>35616</v>
      </c>
      <c r="J18" s="140">
        <f t="shared" si="1"/>
        <v>178080</v>
      </c>
      <c r="K18" s="140">
        <f t="shared" si="1"/>
        <v>249312</v>
      </c>
      <c r="L18" s="140">
        <f t="shared" si="11"/>
        <v>427392</v>
      </c>
      <c r="M18" s="148">
        <f t="shared" si="12"/>
        <v>277124</v>
      </c>
      <c r="N18" s="140">
        <f t="shared" si="15"/>
        <v>7205226</v>
      </c>
      <c r="O18" s="144">
        <f t="shared" si="13"/>
        <v>69.267057904112193</v>
      </c>
      <c r="P18" s="144">
        <f t="shared" si="8"/>
        <v>6170.2057649344297</v>
      </c>
      <c r="Q18" s="144">
        <f t="shared" si="9"/>
        <v>100020.19110908441</v>
      </c>
      <c r="R18" s="145">
        <f t="shared" si="10"/>
        <v>6928104.3691333169</v>
      </c>
    </row>
    <row r="19" spans="1:18" x14ac:dyDescent="0.25">
      <c r="A19" s="140">
        <v>16</v>
      </c>
      <c r="B19" s="140">
        <v>2041</v>
      </c>
      <c r="C19" s="141">
        <f t="shared" si="14"/>
        <v>72100</v>
      </c>
      <c r="D19" s="141">
        <f t="shared" si="2"/>
        <v>120</v>
      </c>
      <c r="E19" s="140">
        <f t="shared" si="3"/>
        <v>86520</v>
      </c>
      <c r="F19" s="140">
        <f t="shared" si="4"/>
        <v>158620</v>
      </c>
      <c r="G19" s="140">
        <f t="shared" si="5"/>
        <v>15862</v>
      </c>
      <c r="H19" s="140">
        <f t="shared" si="6"/>
        <v>22207</v>
      </c>
      <c r="I19" s="140">
        <f t="shared" si="0"/>
        <v>38069</v>
      </c>
      <c r="J19" s="140">
        <f t="shared" si="1"/>
        <v>190344</v>
      </c>
      <c r="K19" s="140">
        <f t="shared" si="1"/>
        <v>266484</v>
      </c>
      <c r="L19" s="140">
        <f t="shared" si="11"/>
        <v>456828</v>
      </c>
      <c r="M19" s="148">
        <f t="shared" si="12"/>
        <v>306482</v>
      </c>
      <c r="N19" s="140">
        <f t="shared" si="15"/>
        <v>7968536</v>
      </c>
      <c r="O19" s="144">
        <f t="shared" si="13"/>
        <v>72.037740220276689</v>
      </c>
      <c r="P19" s="144">
        <f t="shared" si="8"/>
        <v>6341.5093061374955</v>
      </c>
      <c r="Q19" s="144">
        <f t="shared" si="9"/>
        <v>106361.7004152219</v>
      </c>
      <c r="R19" s="145">
        <f t="shared" si="10"/>
        <v>7662056.5438986504</v>
      </c>
    </row>
    <row r="20" spans="1:18" x14ac:dyDescent="0.25">
      <c r="A20" s="140">
        <v>17</v>
      </c>
      <c r="B20" s="140">
        <v>2042</v>
      </c>
      <c r="C20" s="141">
        <f t="shared" si="14"/>
        <v>74300</v>
      </c>
      <c r="D20" s="141">
        <f t="shared" si="2"/>
        <v>128</v>
      </c>
      <c r="E20" s="140">
        <f t="shared" si="3"/>
        <v>95104</v>
      </c>
      <c r="F20" s="140">
        <f t="shared" si="4"/>
        <v>169404</v>
      </c>
      <c r="G20" s="140">
        <f t="shared" si="5"/>
        <v>16940</v>
      </c>
      <c r="H20" s="140">
        <f t="shared" si="6"/>
        <v>23717</v>
      </c>
      <c r="I20" s="140">
        <f t="shared" si="0"/>
        <v>40657</v>
      </c>
      <c r="J20" s="140">
        <f t="shared" si="1"/>
        <v>203280</v>
      </c>
      <c r="K20" s="140">
        <f t="shared" si="1"/>
        <v>284604</v>
      </c>
      <c r="L20" s="140">
        <f t="shared" si="11"/>
        <v>487884</v>
      </c>
      <c r="M20" s="148">
        <f t="shared" si="12"/>
        <v>338257</v>
      </c>
      <c r="N20" s="140">
        <f t="shared" si="15"/>
        <v>8794677</v>
      </c>
      <c r="O20" s="144">
        <f t="shared" si="13"/>
        <v>74.919249829087761</v>
      </c>
      <c r="P20" s="144">
        <f t="shared" si="8"/>
        <v>6512.1314096577707</v>
      </c>
      <c r="Q20" s="144">
        <f t="shared" si="9"/>
        <v>112873.83182487967</v>
      </c>
      <c r="R20" s="145">
        <f t="shared" si="10"/>
        <v>8456422.8056545965</v>
      </c>
    </row>
    <row r="21" spans="1:18" x14ac:dyDescent="0.25">
      <c r="A21" s="140">
        <v>18</v>
      </c>
      <c r="B21" s="140">
        <v>2043</v>
      </c>
      <c r="C21" s="141">
        <f t="shared" si="14"/>
        <v>76500</v>
      </c>
      <c r="D21" s="141">
        <f t="shared" si="2"/>
        <v>136</v>
      </c>
      <c r="E21" s="140">
        <f t="shared" si="3"/>
        <v>104040</v>
      </c>
      <c r="F21" s="140">
        <f t="shared" si="4"/>
        <v>180540</v>
      </c>
      <c r="G21" s="140">
        <f t="shared" si="5"/>
        <v>18054</v>
      </c>
      <c r="H21" s="140">
        <f t="shared" si="6"/>
        <v>25276</v>
      </c>
      <c r="I21" s="140">
        <f t="shared" si="0"/>
        <v>43330</v>
      </c>
      <c r="J21" s="140">
        <f t="shared" si="1"/>
        <v>216648</v>
      </c>
      <c r="K21" s="140">
        <f t="shared" si="1"/>
        <v>303312</v>
      </c>
      <c r="L21" s="140">
        <f t="shared" si="11"/>
        <v>519960</v>
      </c>
      <c r="M21" s="148">
        <f t="shared" si="12"/>
        <v>372585</v>
      </c>
      <c r="N21" s="140">
        <f t="shared" si="15"/>
        <v>9687222</v>
      </c>
      <c r="O21" s="144">
        <f t="shared" si="13"/>
        <v>77.916019822251272</v>
      </c>
      <c r="P21" s="144">
        <f t="shared" si="8"/>
        <v>6673.3388228271606</v>
      </c>
      <c r="Q21" s="144">
        <f t="shared" si="9"/>
        <v>119547.17064770684</v>
      </c>
      <c r="R21" s="145">
        <f t="shared" si="10"/>
        <v>9314639.7178807817</v>
      </c>
    </row>
    <row r="22" spans="1:18" x14ac:dyDescent="0.25">
      <c r="A22" s="140">
        <v>19</v>
      </c>
      <c r="B22" s="140">
        <v>2044</v>
      </c>
      <c r="C22" s="141">
        <f t="shared" si="14"/>
        <v>78800</v>
      </c>
      <c r="D22" s="141">
        <f t="shared" si="2"/>
        <v>144</v>
      </c>
      <c r="E22" s="140">
        <f t="shared" si="3"/>
        <v>113472</v>
      </c>
      <c r="F22" s="140">
        <f t="shared" si="4"/>
        <v>192272</v>
      </c>
      <c r="G22" s="140">
        <f t="shared" si="5"/>
        <v>19227</v>
      </c>
      <c r="H22" s="140">
        <f t="shared" si="6"/>
        <v>26918</v>
      </c>
      <c r="I22" s="140">
        <f t="shared" si="0"/>
        <v>46145</v>
      </c>
      <c r="J22" s="140">
        <f t="shared" si="1"/>
        <v>230724</v>
      </c>
      <c r="K22" s="140">
        <f t="shared" si="1"/>
        <v>323016</v>
      </c>
      <c r="L22" s="140">
        <f t="shared" si="11"/>
        <v>553740</v>
      </c>
      <c r="M22" s="148">
        <f t="shared" si="12"/>
        <v>409638</v>
      </c>
      <c r="N22" s="140">
        <f t="shared" si="15"/>
        <v>10650600</v>
      </c>
      <c r="O22" s="144">
        <f t="shared" si="13"/>
        <v>81.032660615141324</v>
      </c>
      <c r="P22" s="144">
        <f t="shared" si="8"/>
        <v>6833.5408932201735</v>
      </c>
      <c r="Q22" s="144">
        <f t="shared" si="9"/>
        <v>126380.711540927</v>
      </c>
      <c r="R22" s="145">
        <f t="shared" si="10"/>
        <v>10240965.306596013</v>
      </c>
    </row>
    <row r="23" spans="1:18" x14ac:dyDescent="0.25">
      <c r="A23" s="140">
        <v>20</v>
      </c>
      <c r="B23" s="140">
        <v>2045</v>
      </c>
      <c r="C23" s="141">
        <f t="shared" si="14"/>
        <v>81200</v>
      </c>
      <c r="D23" s="141">
        <f t="shared" si="2"/>
        <v>152</v>
      </c>
      <c r="E23" s="140">
        <f t="shared" si="3"/>
        <v>123424</v>
      </c>
      <c r="F23" s="140">
        <f t="shared" si="4"/>
        <v>204624</v>
      </c>
      <c r="G23" s="140">
        <f t="shared" si="5"/>
        <v>20462</v>
      </c>
      <c r="H23" s="140">
        <f t="shared" si="6"/>
        <v>28647</v>
      </c>
      <c r="I23" s="140">
        <f t="shared" si="0"/>
        <v>49109</v>
      </c>
      <c r="J23" s="140">
        <f t="shared" si="1"/>
        <v>245544</v>
      </c>
      <c r="K23" s="140">
        <f t="shared" si="1"/>
        <v>343764</v>
      </c>
      <c r="L23" s="140">
        <f t="shared" si="11"/>
        <v>589308</v>
      </c>
      <c r="M23" s="148">
        <f t="shared" si="12"/>
        <v>449596</v>
      </c>
      <c r="N23" s="140">
        <f t="shared" si="15"/>
        <v>11689504</v>
      </c>
      <c r="O23" s="144">
        <f t="shared" si="13"/>
        <v>84.273967039746978</v>
      </c>
      <c r="P23" s="144">
        <f t="shared" si="8"/>
        <v>6992.764440791766</v>
      </c>
      <c r="Q23" s="144">
        <f t="shared" si="9"/>
        <v>133373.47598171877</v>
      </c>
      <c r="R23" s="145">
        <f t="shared" si="10"/>
        <v>11239911.918859852</v>
      </c>
    </row>
    <row r="24" spans="1:18" x14ac:dyDescent="0.25">
      <c r="A24" s="140">
        <v>21</v>
      </c>
      <c r="B24" s="140">
        <v>2046</v>
      </c>
      <c r="C24" s="141">
        <f t="shared" si="14"/>
        <v>83600</v>
      </c>
      <c r="D24" s="141">
        <f t="shared" si="2"/>
        <v>160</v>
      </c>
      <c r="E24" s="140">
        <f t="shared" si="3"/>
        <v>133760</v>
      </c>
      <c r="F24" s="140">
        <f t="shared" si="4"/>
        <v>217360</v>
      </c>
      <c r="G24" s="140">
        <f t="shared" si="5"/>
        <v>21736</v>
      </c>
      <c r="H24" s="140">
        <f t="shared" si="6"/>
        <v>30430</v>
      </c>
      <c r="I24" s="140">
        <f t="shared" si="0"/>
        <v>52166</v>
      </c>
      <c r="J24" s="140">
        <f t="shared" si="1"/>
        <v>260832</v>
      </c>
      <c r="K24" s="140">
        <f t="shared" si="1"/>
        <v>365160</v>
      </c>
      <c r="L24" s="140">
        <f t="shared" si="11"/>
        <v>625992</v>
      </c>
      <c r="M24" s="148">
        <f t="shared" si="12"/>
        <v>492620</v>
      </c>
      <c r="N24" s="140">
        <f t="shared" si="15"/>
        <v>12808116</v>
      </c>
      <c r="O24" s="144">
        <f t="shared" si="13"/>
        <v>87.644925721336861</v>
      </c>
      <c r="P24" s="144">
        <f t="shared" si="8"/>
        <v>7142.3644306609795</v>
      </c>
      <c r="Q24" s="144">
        <f t="shared" si="9"/>
        <v>140515.84041237977</v>
      </c>
      <c r="R24" s="145">
        <f t="shared" si="10"/>
        <v>12315500.39561425</v>
      </c>
    </row>
    <row r="25" spans="1:18" x14ac:dyDescent="0.25">
      <c r="A25" s="140">
        <v>22</v>
      </c>
      <c r="B25" s="140">
        <v>2047</v>
      </c>
      <c r="C25" s="141">
        <f t="shared" si="14"/>
        <v>86100</v>
      </c>
      <c r="D25" s="141">
        <f t="shared" si="2"/>
        <v>168</v>
      </c>
      <c r="E25" s="140">
        <f t="shared" si="3"/>
        <v>144648</v>
      </c>
      <c r="F25" s="140">
        <f t="shared" si="4"/>
        <v>230748</v>
      </c>
      <c r="G25" s="140">
        <f t="shared" si="5"/>
        <v>23075</v>
      </c>
      <c r="H25" s="140">
        <f t="shared" si="6"/>
        <v>32305</v>
      </c>
      <c r="I25" s="140">
        <f t="shared" si="0"/>
        <v>55380</v>
      </c>
      <c r="J25" s="140">
        <f t="shared" si="1"/>
        <v>276900</v>
      </c>
      <c r="K25" s="140">
        <f t="shared" si="1"/>
        <v>387660</v>
      </c>
      <c r="L25" s="140">
        <f t="shared" si="11"/>
        <v>664560</v>
      </c>
      <c r="M25" s="148">
        <f t="shared" si="12"/>
        <v>538907</v>
      </c>
      <c r="N25" s="140">
        <f t="shared" si="15"/>
        <v>14011583</v>
      </c>
      <c r="O25" s="144">
        <f t="shared" si="13"/>
        <v>91.15072275019034</v>
      </c>
      <c r="P25" s="144">
        <f t="shared" si="8"/>
        <v>7290.7814655656393</v>
      </c>
      <c r="Q25" s="144">
        <f t="shared" si="9"/>
        <v>147806.62187794541</v>
      </c>
      <c r="R25" s="145">
        <f t="shared" si="10"/>
        <v>13472680.411438819</v>
      </c>
    </row>
    <row r="26" spans="1:18" x14ac:dyDescent="0.25">
      <c r="A26" s="140">
        <v>23</v>
      </c>
      <c r="B26" s="140">
        <v>2048</v>
      </c>
      <c r="C26" s="141">
        <f t="shared" si="14"/>
        <v>88700</v>
      </c>
      <c r="D26" s="141">
        <f t="shared" si="2"/>
        <v>176</v>
      </c>
      <c r="E26" s="140">
        <f t="shared" si="3"/>
        <v>156112</v>
      </c>
      <c r="F26" s="140">
        <f t="shared" si="4"/>
        <v>244812</v>
      </c>
      <c r="G26" s="140">
        <f t="shared" si="5"/>
        <v>24481</v>
      </c>
      <c r="H26" s="140">
        <f t="shared" si="6"/>
        <v>34274</v>
      </c>
      <c r="I26" s="140">
        <f t="shared" si="0"/>
        <v>58755</v>
      </c>
      <c r="J26" s="140">
        <f t="shared" si="1"/>
        <v>293772</v>
      </c>
      <c r="K26" s="140">
        <f t="shared" si="1"/>
        <v>411288</v>
      </c>
      <c r="L26" s="140">
        <f t="shared" si="11"/>
        <v>705060</v>
      </c>
      <c r="M26" s="148">
        <f t="shared" si="12"/>
        <v>588666</v>
      </c>
      <c r="N26" s="140">
        <f t="shared" si="15"/>
        <v>15305309</v>
      </c>
      <c r="O26" s="144">
        <f t="shared" si="13"/>
        <v>94.796751660197955</v>
      </c>
      <c r="P26" s="144">
        <f t="shared" si="8"/>
        <v>7437.5966227968502</v>
      </c>
      <c r="Q26" s="144">
        <f t="shared" si="9"/>
        <v>155244.21850074225</v>
      </c>
      <c r="R26" s="145">
        <f t="shared" si="10"/>
        <v>14716647.627896372</v>
      </c>
    </row>
    <row r="27" spans="1:18" x14ac:dyDescent="0.25">
      <c r="A27" s="140">
        <v>24</v>
      </c>
      <c r="B27" s="140">
        <v>2049</v>
      </c>
      <c r="C27" s="141">
        <f t="shared" si="14"/>
        <v>91400</v>
      </c>
      <c r="D27" s="141">
        <f t="shared" si="2"/>
        <v>184</v>
      </c>
      <c r="E27" s="140">
        <f t="shared" si="3"/>
        <v>168176</v>
      </c>
      <c r="F27" s="140">
        <f t="shared" si="4"/>
        <v>259576</v>
      </c>
      <c r="G27" s="140">
        <f t="shared" si="5"/>
        <v>25958</v>
      </c>
      <c r="H27" s="140">
        <f t="shared" si="6"/>
        <v>36341</v>
      </c>
      <c r="I27" s="140">
        <f t="shared" si="0"/>
        <v>62299</v>
      </c>
      <c r="J27" s="140">
        <f t="shared" si="1"/>
        <v>311496</v>
      </c>
      <c r="K27" s="140">
        <f t="shared" si="1"/>
        <v>436092</v>
      </c>
      <c r="L27" s="140">
        <f t="shared" si="11"/>
        <v>747588</v>
      </c>
      <c r="M27" s="148">
        <f t="shared" si="12"/>
        <v>642116</v>
      </c>
      <c r="N27" s="140">
        <f t="shared" si="15"/>
        <v>16695013</v>
      </c>
      <c r="O27" s="144">
        <f t="shared" si="13"/>
        <v>98.588621726605879</v>
      </c>
      <c r="P27" s="144">
        <f t="shared" si="8"/>
        <v>7582.9034518113176</v>
      </c>
      <c r="Q27" s="144">
        <f t="shared" si="9"/>
        <v>162827.12195255357</v>
      </c>
      <c r="R27" s="145">
        <f t="shared" si="10"/>
        <v>16052901.533012228</v>
      </c>
    </row>
    <row r="28" spans="1:18" x14ac:dyDescent="0.25">
      <c r="A28" s="140">
        <v>25</v>
      </c>
      <c r="B28" s="140">
        <v>2050</v>
      </c>
      <c r="C28" s="141">
        <f t="shared" si="14"/>
        <v>94100</v>
      </c>
      <c r="D28" s="141">
        <f t="shared" si="2"/>
        <v>192</v>
      </c>
      <c r="E28" s="140">
        <f t="shared" si="3"/>
        <v>180672</v>
      </c>
      <c r="F28" s="140">
        <f t="shared" si="4"/>
        <v>274772</v>
      </c>
      <c r="G28" s="140">
        <f t="shared" si="5"/>
        <v>27477</v>
      </c>
      <c r="H28" s="140">
        <f t="shared" si="6"/>
        <v>38468</v>
      </c>
      <c r="I28" s="140">
        <f t="shared" si="0"/>
        <v>65945</v>
      </c>
      <c r="J28" s="140">
        <f t="shared" si="1"/>
        <v>329724</v>
      </c>
      <c r="K28" s="140">
        <f t="shared" si="1"/>
        <v>461616</v>
      </c>
      <c r="L28" s="140">
        <f t="shared" si="11"/>
        <v>791340</v>
      </c>
      <c r="M28" s="148">
        <f t="shared" si="12"/>
        <v>699454</v>
      </c>
      <c r="N28" s="140">
        <f t="shared" si="15"/>
        <v>18185807</v>
      </c>
      <c r="O28" s="144">
        <f t="shared" si="13"/>
        <v>102.53216659567012</v>
      </c>
      <c r="P28" s="144">
        <f t="shared" si="8"/>
        <v>7717.9681876869445</v>
      </c>
      <c r="Q28" s="144">
        <f t="shared" si="9"/>
        <v>170545.09014024053</v>
      </c>
      <c r="R28" s="145">
        <f t="shared" si="10"/>
        <v>17486357.594332721</v>
      </c>
    </row>
    <row r="29" spans="1:18" x14ac:dyDescent="0.25">
      <c r="A29" s="140">
        <v>26</v>
      </c>
      <c r="B29" s="140">
        <v>2051</v>
      </c>
      <c r="C29" s="141">
        <f t="shared" si="14"/>
        <v>96900</v>
      </c>
      <c r="D29" s="141">
        <f t="shared" si="2"/>
        <v>200</v>
      </c>
      <c r="E29" s="140">
        <f t="shared" si="3"/>
        <v>193800</v>
      </c>
      <c r="F29" s="140">
        <f t="shared" si="4"/>
        <v>290700</v>
      </c>
      <c r="G29" s="140">
        <f t="shared" si="5"/>
        <v>29070</v>
      </c>
      <c r="H29" s="140">
        <f t="shared" si="6"/>
        <v>40698</v>
      </c>
      <c r="I29" s="140">
        <f t="shared" si="0"/>
        <v>69768</v>
      </c>
      <c r="J29" s="140">
        <f t="shared" si="1"/>
        <v>348840</v>
      </c>
      <c r="K29" s="140">
        <f t="shared" si="1"/>
        <v>488376</v>
      </c>
      <c r="L29" s="140">
        <f t="shared" si="11"/>
        <v>837216</v>
      </c>
      <c r="M29" s="148">
        <f t="shared" si="12"/>
        <v>760921</v>
      </c>
      <c r="N29" s="140">
        <f t="shared" si="15"/>
        <v>19783944</v>
      </c>
      <c r="O29" s="144">
        <f t="shared" si="13"/>
        <v>106.63345325949693</v>
      </c>
      <c r="P29" s="144">
        <f t="shared" si="8"/>
        <v>7851.3447178963634</v>
      </c>
      <c r="Q29" s="144">
        <f t="shared" si="9"/>
        <v>178396.4348581369</v>
      </c>
      <c r="R29" s="145">
        <f t="shared" si="10"/>
        <v>19023027.898106031</v>
      </c>
    </row>
    <row r="30" spans="1:18" x14ac:dyDescent="0.25">
      <c r="A30" s="140">
        <v>27</v>
      </c>
      <c r="B30" s="140">
        <v>2052</v>
      </c>
      <c r="C30" s="141">
        <f t="shared" si="14"/>
        <v>99800</v>
      </c>
      <c r="D30" s="141">
        <f t="shared" si="2"/>
        <v>208</v>
      </c>
      <c r="E30" s="140">
        <f t="shared" si="3"/>
        <v>207584</v>
      </c>
      <c r="F30" s="140">
        <f t="shared" si="4"/>
        <v>307384</v>
      </c>
      <c r="G30" s="140">
        <f t="shared" si="5"/>
        <v>30738</v>
      </c>
      <c r="H30" s="140">
        <f t="shared" si="6"/>
        <v>43034</v>
      </c>
      <c r="I30" s="140">
        <f t="shared" si="0"/>
        <v>73772</v>
      </c>
      <c r="J30" s="140">
        <f t="shared" si="1"/>
        <v>368856</v>
      </c>
      <c r="K30" s="140">
        <f t="shared" si="1"/>
        <v>516408</v>
      </c>
      <c r="L30" s="140">
        <f t="shared" si="11"/>
        <v>885264</v>
      </c>
      <c r="M30" s="148">
        <f t="shared" si="12"/>
        <v>826768</v>
      </c>
      <c r="N30" s="140">
        <f t="shared" si="15"/>
        <v>21495976</v>
      </c>
      <c r="O30" s="144">
        <f t="shared" si="13"/>
        <v>110.89879138987682</v>
      </c>
      <c r="P30" s="144">
        <f t="shared" si="8"/>
        <v>7982.6298276575235</v>
      </c>
      <c r="Q30" s="144">
        <f t="shared" si="9"/>
        <v>186379.06468579441</v>
      </c>
      <c r="R30" s="145">
        <f t="shared" si="10"/>
        <v>20669213.01403027</v>
      </c>
    </row>
    <row r="31" spans="1:18" x14ac:dyDescent="0.25">
      <c r="A31" s="140">
        <v>28</v>
      </c>
      <c r="B31" s="140">
        <v>2053</v>
      </c>
      <c r="C31" s="141">
        <f t="shared" si="14"/>
        <v>102800</v>
      </c>
      <c r="D31" s="141">
        <f t="shared" si="2"/>
        <v>216</v>
      </c>
      <c r="E31" s="140">
        <f t="shared" si="3"/>
        <v>222048</v>
      </c>
      <c r="F31" s="140">
        <f t="shared" si="4"/>
        <v>324848</v>
      </c>
      <c r="G31" s="140">
        <f t="shared" si="5"/>
        <v>32485</v>
      </c>
      <c r="H31" s="140">
        <f t="shared" si="6"/>
        <v>45479</v>
      </c>
      <c r="I31" s="140">
        <f t="shared" si="0"/>
        <v>77964</v>
      </c>
      <c r="J31" s="140">
        <f t="shared" si="1"/>
        <v>389820</v>
      </c>
      <c r="K31" s="140">
        <f t="shared" si="1"/>
        <v>545748</v>
      </c>
      <c r="L31" s="140">
        <f t="shared" si="11"/>
        <v>935568</v>
      </c>
      <c r="M31" s="148">
        <f t="shared" si="12"/>
        <v>897262</v>
      </c>
      <c r="N31" s="140">
        <f t="shared" si="15"/>
        <v>23328806</v>
      </c>
      <c r="O31" s="144">
        <f t="shared" si="13"/>
        <v>115.3347430454719</v>
      </c>
      <c r="P31" s="144">
        <f t="shared" si="8"/>
        <v>8111.7621221139134</v>
      </c>
      <c r="Q31" s="144">
        <f t="shared" si="9"/>
        <v>194490.82680790834</v>
      </c>
      <c r="R31" s="145">
        <f t="shared" si="10"/>
        <v>22431549.534591485</v>
      </c>
    </row>
    <row r="32" spans="1:18" x14ac:dyDescent="0.25">
      <c r="A32" s="140">
        <v>29</v>
      </c>
      <c r="B32" s="140">
        <v>2054</v>
      </c>
      <c r="C32" s="141">
        <f t="shared" si="14"/>
        <v>105900</v>
      </c>
      <c r="D32" s="141">
        <f t="shared" si="2"/>
        <v>224</v>
      </c>
      <c r="E32" s="140">
        <f t="shared" si="3"/>
        <v>237216</v>
      </c>
      <c r="F32" s="140">
        <f t="shared" si="4"/>
        <v>343116</v>
      </c>
      <c r="G32" s="140">
        <f t="shared" si="5"/>
        <v>34312</v>
      </c>
      <c r="H32" s="140">
        <f t="shared" si="6"/>
        <v>48036</v>
      </c>
      <c r="I32" s="140">
        <f t="shared" si="0"/>
        <v>82348</v>
      </c>
      <c r="J32" s="140">
        <f t="shared" si="1"/>
        <v>411744</v>
      </c>
      <c r="K32" s="140">
        <f t="shared" si="1"/>
        <v>576432</v>
      </c>
      <c r="L32" s="140">
        <f t="shared" si="11"/>
        <v>988176</v>
      </c>
      <c r="M32" s="148">
        <f t="shared" si="12"/>
        <v>972679</v>
      </c>
      <c r="N32" s="140">
        <f t="shared" si="15"/>
        <v>25289661</v>
      </c>
      <c r="O32" s="144">
        <f t="shared" si="13"/>
        <v>119.94813276729077</v>
      </c>
      <c r="P32" s="144">
        <f t="shared" si="8"/>
        <v>8238.3608414909013</v>
      </c>
      <c r="Q32" s="144">
        <f t="shared" si="9"/>
        <v>202729.18764939925</v>
      </c>
      <c r="R32" s="145">
        <f t="shared" si="10"/>
        <v>24316987.515975144</v>
      </c>
    </row>
    <row r="33" spans="1:19" x14ac:dyDescent="0.25">
      <c r="A33" s="140">
        <v>30</v>
      </c>
      <c r="B33" s="140">
        <v>2055</v>
      </c>
      <c r="C33" s="141">
        <f t="shared" si="14"/>
        <v>109100</v>
      </c>
      <c r="D33" s="141">
        <f t="shared" si="2"/>
        <v>232</v>
      </c>
      <c r="E33" s="140">
        <f t="shared" si="3"/>
        <v>253112</v>
      </c>
      <c r="F33" s="140">
        <f t="shared" si="4"/>
        <v>362212</v>
      </c>
      <c r="G33" s="140">
        <f t="shared" si="5"/>
        <v>36221</v>
      </c>
      <c r="H33" s="140">
        <f t="shared" si="6"/>
        <v>50710</v>
      </c>
      <c r="I33" s="140">
        <f t="shared" si="0"/>
        <v>86931</v>
      </c>
      <c r="J33" s="140">
        <f t="shared" si="1"/>
        <v>434652</v>
      </c>
      <c r="K33" s="140">
        <f t="shared" si="1"/>
        <v>608520</v>
      </c>
      <c r="L33" s="140">
        <f t="shared" si="11"/>
        <v>1043172</v>
      </c>
      <c r="M33" s="148">
        <f t="shared" si="12"/>
        <v>1053313</v>
      </c>
      <c r="N33" s="140">
        <f t="shared" si="15"/>
        <v>27386146</v>
      </c>
      <c r="O33" s="144">
        <f t="shared" si="13"/>
        <v>124.74605807798241</v>
      </c>
      <c r="P33" s="144">
        <f t="shared" si="8"/>
        <v>8362.3644391863891</v>
      </c>
      <c r="Q33" s="144">
        <f t="shared" si="9"/>
        <v>211091.55208858562</v>
      </c>
      <c r="R33" s="145">
        <f t="shared" si="10"/>
        <v>26332839.01661415</v>
      </c>
    </row>
    <row r="34" spans="1:19" x14ac:dyDescent="0.25">
      <c r="A34" s="140">
        <v>31</v>
      </c>
      <c r="B34" s="140">
        <v>2056</v>
      </c>
      <c r="C34" s="141">
        <f t="shared" si="14"/>
        <v>112400</v>
      </c>
      <c r="D34" s="141">
        <f t="shared" si="2"/>
        <v>240</v>
      </c>
      <c r="E34" s="140">
        <f t="shared" si="3"/>
        <v>269760</v>
      </c>
      <c r="F34" s="140">
        <f t="shared" si="4"/>
        <v>382160</v>
      </c>
      <c r="G34" s="140">
        <f t="shared" si="5"/>
        <v>38216</v>
      </c>
      <c r="H34" s="140">
        <f t="shared" si="6"/>
        <v>53502</v>
      </c>
      <c r="I34" s="140">
        <f t="shared" si="0"/>
        <v>91718</v>
      </c>
      <c r="J34" s="140">
        <f t="shared" si="1"/>
        <v>458592</v>
      </c>
      <c r="K34" s="140">
        <f t="shared" si="1"/>
        <v>642024</v>
      </c>
      <c r="L34" s="140">
        <f t="shared" si="11"/>
        <v>1100616</v>
      </c>
      <c r="M34" s="148">
        <f t="shared" si="12"/>
        <v>1139470</v>
      </c>
      <c r="N34" s="140">
        <f t="shared" si="15"/>
        <v>29626232</v>
      </c>
      <c r="O34" s="144">
        <f t="shared" si="13"/>
        <v>129.7359004011017</v>
      </c>
      <c r="P34" s="144">
        <f t="shared" si="8"/>
        <v>8483.511476755848</v>
      </c>
      <c r="Q34" s="144">
        <f t="shared" si="9"/>
        <v>219575.06356534146</v>
      </c>
      <c r="R34" s="145">
        <f t="shared" si="10"/>
        <v>28486768.577278715</v>
      </c>
    </row>
    <row r="35" spans="1:19" x14ac:dyDescent="0.25">
      <c r="A35" s="140">
        <v>32</v>
      </c>
      <c r="B35" s="140">
        <v>2057</v>
      </c>
      <c r="C35" s="141">
        <f t="shared" si="14"/>
        <v>115800</v>
      </c>
      <c r="D35" s="141">
        <f t="shared" si="2"/>
        <v>248</v>
      </c>
      <c r="E35" s="140">
        <f t="shared" si="3"/>
        <v>287184</v>
      </c>
      <c r="F35" s="140">
        <f t="shared" si="4"/>
        <v>402984</v>
      </c>
      <c r="G35" s="140">
        <f t="shared" si="5"/>
        <v>40298</v>
      </c>
      <c r="H35" s="140">
        <f t="shared" si="6"/>
        <v>56418</v>
      </c>
      <c r="I35" s="140">
        <f t="shared" si="0"/>
        <v>96716</v>
      </c>
      <c r="J35" s="140">
        <f t="shared" si="1"/>
        <v>483576</v>
      </c>
      <c r="K35" s="140">
        <f t="shared" si="1"/>
        <v>677016</v>
      </c>
      <c r="L35" s="140">
        <f t="shared" si="11"/>
        <v>1160592</v>
      </c>
      <c r="M35" s="148">
        <f t="shared" si="12"/>
        <v>1231473</v>
      </c>
      <c r="N35" s="140">
        <f t="shared" si="15"/>
        <v>32018297</v>
      </c>
      <c r="O35" s="144">
        <f t="shared" si="13"/>
        <v>134.92533641714579</v>
      </c>
      <c r="P35" s="144">
        <f t="shared" si="8"/>
        <v>8601.7350841492243</v>
      </c>
      <c r="Q35" s="144">
        <f t="shared" si="9"/>
        <v>228176.79864949069</v>
      </c>
      <c r="R35" s="145">
        <f t="shared" si="10"/>
        <v>30786831.320369869</v>
      </c>
    </row>
    <row r="36" spans="1:19" x14ac:dyDescent="0.25">
      <c r="A36" s="140">
        <v>33</v>
      </c>
      <c r="B36" s="140">
        <v>2058</v>
      </c>
      <c r="C36" s="141">
        <f t="shared" si="14"/>
        <v>119300</v>
      </c>
      <c r="D36" s="141">
        <f t="shared" si="2"/>
        <v>256</v>
      </c>
      <c r="E36" s="140">
        <f t="shared" si="3"/>
        <v>305408</v>
      </c>
      <c r="F36" s="140">
        <f t="shared" si="4"/>
        <v>424708</v>
      </c>
      <c r="G36" s="140">
        <f t="shared" si="5"/>
        <v>42471</v>
      </c>
      <c r="H36" s="140">
        <f t="shared" si="6"/>
        <v>59459</v>
      </c>
      <c r="I36" s="140">
        <f t="shared" si="0"/>
        <v>101930</v>
      </c>
      <c r="J36" s="140">
        <f t="shared" si="1"/>
        <v>509652</v>
      </c>
      <c r="K36" s="140">
        <f t="shared" si="1"/>
        <v>713508</v>
      </c>
      <c r="L36" s="140">
        <f t="shared" si="11"/>
        <v>1223160</v>
      </c>
      <c r="M36" s="148">
        <f t="shared" si="12"/>
        <v>1329658</v>
      </c>
      <c r="N36" s="140">
        <f t="shared" si="15"/>
        <v>34571115</v>
      </c>
      <c r="O36" s="144">
        <f t="shared" si="13"/>
        <v>140.32234987383163</v>
      </c>
      <c r="P36" s="144">
        <f>+L36/O36</f>
        <v>8716.7867492226487</v>
      </c>
      <c r="Q36" s="144">
        <f>+Q35+P36</f>
        <v>236893.58539871333</v>
      </c>
      <c r="R36" s="145">
        <f>+Q36*O36</f>
        <v>33241464.573184662</v>
      </c>
    </row>
    <row r="37" spans="1:19" x14ac:dyDescent="0.25">
      <c r="A37" s="140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</row>
    <row r="38" spans="1:19" x14ac:dyDescent="0.25">
      <c r="A38" s="142"/>
      <c r="B38" s="142" t="s">
        <v>174</v>
      </c>
      <c r="C38" s="142">
        <f>MAX(C4:C36)</f>
        <v>119300</v>
      </c>
      <c r="D38" s="142">
        <f>MAX(D4:D36)</f>
        <v>256</v>
      </c>
      <c r="E38" s="142">
        <f>SUM(E4:E37)</f>
        <v>3801888</v>
      </c>
      <c r="F38" s="142">
        <f t="shared" ref="F38:M38" si="16">SUM(F4:F37)</f>
        <v>6350988</v>
      </c>
      <c r="G38" s="142">
        <f t="shared" si="16"/>
        <v>635098</v>
      </c>
      <c r="H38" s="142">
        <f t="shared" si="16"/>
        <v>889140</v>
      </c>
      <c r="I38" s="142">
        <f t="shared" si="16"/>
        <v>1524238</v>
      </c>
      <c r="J38" s="146">
        <f t="shared" si="16"/>
        <v>8021391</v>
      </c>
      <c r="K38" s="142">
        <f t="shared" si="16"/>
        <v>11381174</v>
      </c>
      <c r="L38" s="146">
        <f t="shared" si="16"/>
        <v>19402565</v>
      </c>
      <c r="M38" s="142">
        <f t="shared" si="16"/>
        <v>15168550</v>
      </c>
      <c r="N38" s="142">
        <f>MAX(N4:N36)</f>
        <v>34571115</v>
      </c>
      <c r="O38" s="142">
        <f>MAX(O4:O36)</f>
        <v>140.32234987383163</v>
      </c>
      <c r="P38" s="143"/>
      <c r="Q38" s="288">
        <f>MAX(Q4:Q36)</f>
        <v>236893.58539871333</v>
      </c>
      <c r="R38" s="289">
        <f>MAX(R4:R36)</f>
        <v>33241464.573184662</v>
      </c>
    </row>
    <row r="39" spans="1:19" x14ac:dyDescent="0.25">
      <c r="J39" s="155">
        <v>0.1</v>
      </c>
      <c r="K39" s="155">
        <v>0.14000000000000001</v>
      </c>
      <c r="L39" s="155">
        <v>0.24</v>
      </c>
      <c r="N39" s="137" t="s">
        <v>176</v>
      </c>
      <c r="Q39" s="137" t="s">
        <v>177</v>
      </c>
      <c r="R39" s="137" t="s">
        <v>178</v>
      </c>
    </row>
    <row r="40" spans="1:19" x14ac:dyDescent="0.25">
      <c r="O40" s="147"/>
      <c r="Q40" s="147"/>
    </row>
    <row r="41" spans="1:19" ht="18" x14ac:dyDescent="0.4">
      <c r="H41" s="219" t="s">
        <v>40</v>
      </c>
      <c r="I41" s="220"/>
      <c r="J41" s="220"/>
      <c r="K41" s="220"/>
      <c r="L41" s="220"/>
      <c r="M41" s="138">
        <v>0.06</v>
      </c>
      <c r="O41" s="199" t="s">
        <v>41</v>
      </c>
      <c r="P41" s="200"/>
      <c r="Q41" s="200"/>
      <c r="R41" s="200"/>
      <c r="S41" s="201"/>
    </row>
    <row r="42" spans="1:19" ht="18" x14ac:dyDescent="0.4">
      <c r="B42" s="191" t="s">
        <v>39</v>
      </c>
      <c r="C42" s="192"/>
      <c r="D42" s="192"/>
      <c r="E42" s="192"/>
      <c r="F42" s="192"/>
      <c r="H42" s="204" t="s">
        <v>63</v>
      </c>
      <c r="I42" s="205"/>
      <c r="J42" s="206"/>
      <c r="K42" s="194">
        <f>ROUND(R38*40%,0)</f>
        <v>13296586</v>
      </c>
      <c r="L42" s="195"/>
      <c r="M42" s="49">
        <f>ROUND((K42*M41)/12,0)</f>
        <v>66483</v>
      </c>
      <c r="O42" s="53" t="s">
        <v>36</v>
      </c>
      <c r="P42" s="197" t="s">
        <v>56</v>
      </c>
      <c r="Q42" s="197"/>
      <c r="R42" s="197" t="s">
        <v>55</v>
      </c>
      <c r="S42" s="197"/>
    </row>
    <row r="43" spans="1:19" ht="18" x14ac:dyDescent="0.4">
      <c r="B43" s="47" t="s">
        <v>36</v>
      </c>
      <c r="C43" s="193" t="s">
        <v>56</v>
      </c>
      <c r="D43" s="193"/>
      <c r="E43" s="193" t="s">
        <v>55</v>
      </c>
      <c r="F43" s="193"/>
      <c r="H43" s="207" t="s">
        <v>182</v>
      </c>
      <c r="I43" s="207"/>
      <c r="J43" s="207"/>
      <c r="K43" s="196">
        <f>ROUND(R38*60%,0)</f>
        <v>19944879</v>
      </c>
      <c r="L43" s="196"/>
      <c r="M43" s="49">
        <f>ROUND((K43*M41)/12,0)</f>
        <v>99724</v>
      </c>
      <c r="O43" s="53">
        <v>1</v>
      </c>
      <c r="P43" s="197" t="s">
        <v>17</v>
      </c>
      <c r="Q43" s="197"/>
      <c r="R43" s="198">
        <f>+E44</f>
        <v>119300</v>
      </c>
      <c r="S43" s="197"/>
    </row>
    <row r="44" spans="1:19" ht="18" x14ac:dyDescent="0.4">
      <c r="B44" s="47">
        <v>1</v>
      </c>
      <c r="C44" s="193" t="s">
        <v>17</v>
      </c>
      <c r="D44" s="193"/>
      <c r="E44" s="193">
        <f>+C38</f>
        <v>119300</v>
      </c>
      <c r="F44" s="193"/>
      <c r="H44" s="208" t="s">
        <v>183</v>
      </c>
      <c r="I44" s="208"/>
      <c r="J44" s="208"/>
      <c r="K44" s="209">
        <f>SUM(K42:K43)</f>
        <v>33241465</v>
      </c>
      <c r="L44" s="209"/>
      <c r="M44" s="49">
        <f>SUM(M42:M43)</f>
        <v>166207</v>
      </c>
      <c r="O44" s="53">
        <v>2</v>
      </c>
      <c r="P44" s="197" t="s">
        <v>37</v>
      </c>
      <c r="Q44" s="197"/>
      <c r="R44" s="197">
        <f>+R43/2</f>
        <v>59650</v>
      </c>
      <c r="S44" s="197"/>
    </row>
    <row r="45" spans="1:19" ht="18" x14ac:dyDescent="0.4">
      <c r="B45" s="47">
        <v>2</v>
      </c>
      <c r="C45" s="193" t="s">
        <v>37</v>
      </c>
      <c r="D45" s="193"/>
      <c r="E45" s="193">
        <f>+E44/2</f>
        <v>59650</v>
      </c>
      <c r="F45" s="193"/>
      <c r="H45" s="210" t="s">
        <v>66</v>
      </c>
      <c r="I45" s="211"/>
      <c r="J45" s="211"/>
      <c r="K45" s="211"/>
      <c r="L45" s="212"/>
      <c r="M45" s="51">
        <f>+M44</f>
        <v>166207</v>
      </c>
      <c r="O45" s="53">
        <v>3</v>
      </c>
      <c r="P45" s="197" t="s">
        <v>19</v>
      </c>
      <c r="Q45" s="197"/>
      <c r="R45" s="199">
        <f>ROUND(R44*(D38%),0)</f>
        <v>152704</v>
      </c>
      <c r="S45" s="201"/>
    </row>
    <row r="46" spans="1:19" ht="18" x14ac:dyDescent="0.4">
      <c r="B46" s="47">
        <v>3</v>
      </c>
      <c r="C46" s="193" t="s">
        <v>19</v>
      </c>
      <c r="D46" s="193"/>
      <c r="E46" s="193">
        <f>ROUND(E45*(D38%),0)</f>
        <v>152704</v>
      </c>
      <c r="F46" s="193"/>
      <c r="H46" s="210" t="s">
        <v>67</v>
      </c>
      <c r="I46" s="211"/>
      <c r="J46" s="211"/>
      <c r="K46" s="211"/>
      <c r="L46" s="212"/>
      <c r="M46" s="51">
        <f>+M45-E47</f>
        <v>-46147</v>
      </c>
      <c r="O46" s="53">
        <v>4</v>
      </c>
      <c r="P46" s="197" t="s">
        <v>116</v>
      </c>
      <c r="Q46" s="197"/>
      <c r="R46" s="197">
        <f>+R44+R45</f>
        <v>212354</v>
      </c>
      <c r="S46" s="197"/>
    </row>
    <row r="47" spans="1:19" ht="35.25" customHeight="1" x14ac:dyDescent="0.4">
      <c r="B47" s="161">
        <v>4</v>
      </c>
      <c r="C47" s="214" t="s">
        <v>184</v>
      </c>
      <c r="D47" s="214"/>
      <c r="E47" s="215">
        <f>+E45+E46</f>
        <v>212354</v>
      </c>
      <c r="F47" s="215"/>
      <c r="O47" s="216" t="s">
        <v>62</v>
      </c>
      <c r="P47" s="216"/>
      <c r="Q47" s="216"/>
      <c r="R47" s="216"/>
      <c r="S47" s="216"/>
    </row>
    <row r="48" spans="1:19" ht="33" customHeight="1" x14ac:dyDescent="0.4">
      <c r="B48" s="213" t="s">
        <v>62</v>
      </c>
      <c r="C48" s="213"/>
      <c r="D48" s="213"/>
      <c r="E48" s="213"/>
      <c r="F48" s="213"/>
      <c r="O48" s="224" t="s">
        <v>74</v>
      </c>
      <c r="P48" s="224"/>
      <c r="Q48" s="224"/>
      <c r="R48" s="197">
        <f>+ROUND(R44*60%,0)</f>
        <v>35790</v>
      </c>
      <c r="S48" s="197"/>
    </row>
    <row r="49" spans="1:19" ht="18" x14ac:dyDescent="0.4">
      <c r="B49" s="203" t="s">
        <v>38</v>
      </c>
      <c r="C49" s="203"/>
      <c r="D49" s="203"/>
      <c r="E49" s="193">
        <f>+ROUND(E44*30%,0)</f>
        <v>35790</v>
      </c>
      <c r="F49" s="193"/>
      <c r="O49" s="224" t="s">
        <v>19</v>
      </c>
      <c r="P49" s="224"/>
      <c r="Q49" s="224"/>
      <c r="R49" s="199">
        <f>ROUND(R48*(D38%),0)</f>
        <v>91622</v>
      </c>
      <c r="S49" s="201"/>
    </row>
    <row r="50" spans="1:19" ht="18" x14ac:dyDescent="0.4">
      <c r="B50" s="203" t="s">
        <v>19</v>
      </c>
      <c r="C50" s="203"/>
      <c r="D50" s="203"/>
      <c r="E50" s="193">
        <f>ROUND(E49*(D38%),0)</f>
        <v>91622</v>
      </c>
      <c r="F50" s="193"/>
      <c r="O50" s="224" t="s">
        <v>21</v>
      </c>
      <c r="P50" s="224"/>
      <c r="Q50" s="224"/>
      <c r="R50" s="197">
        <f>+R48+R49</f>
        <v>127412</v>
      </c>
      <c r="S50" s="197"/>
    </row>
    <row r="51" spans="1:19" ht="18" x14ac:dyDescent="0.4">
      <c r="B51" s="203" t="s">
        <v>21</v>
      </c>
      <c r="C51" s="203"/>
      <c r="D51" s="203"/>
      <c r="E51" s="193">
        <f>+E49+E50</f>
        <v>127412</v>
      </c>
      <c r="F51" s="193"/>
    </row>
    <row r="53" spans="1:19" x14ac:dyDescent="0.25">
      <c r="A53" s="168" t="s">
        <v>189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9"/>
    </row>
    <row r="55" spans="1:19" ht="15" customHeight="1" x14ac:dyDescent="0.25">
      <c r="A55" s="218" t="s">
        <v>167</v>
      </c>
      <c r="B55" s="218" t="s">
        <v>168</v>
      </c>
      <c r="C55" s="218" t="s">
        <v>169</v>
      </c>
      <c r="D55" s="163" t="s">
        <v>172</v>
      </c>
      <c r="E55" s="218" t="s">
        <v>170</v>
      </c>
      <c r="F55" s="218" t="s">
        <v>171</v>
      </c>
      <c r="G55" s="222" t="s">
        <v>185</v>
      </c>
      <c r="H55" s="218" t="s">
        <v>186</v>
      </c>
      <c r="I55" s="218"/>
      <c r="J55" s="222" t="s">
        <v>187</v>
      </c>
      <c r="K55" s="222" t="s">
        <v>188</v>
      </c>
    </row>
    <row r="56" spans="1:19" x14ac:dyDescent="0.25">
      <c r="A56" s="218"/>
      <c r="B56" s="218"/>
      <c r="C56" s="218"/>
      <c r="D56" s="162">
        <f>+D2</f>
        <v>8</v>
      </c>
      <c r="E56" s="218"/>
      <c r="F56" s="218"/>
      <c r="G56" s="222"/>
      <c r="H56" s="218"/>
      <c r="I56" s="218"/>
      <c r="J56" s="222"/>
      <c r="K56" s="222"/>
    </row>
    <row r="57" spans="1:19" x14ac:dyDescent="0.25">
      <c r="A57" s="164">
        <v>2</v>
      </c>
      <c r="B57" s="164">
        <f>+B36+1</f>
        <v>2059</v>
      </c>
      <c r="C57" s="164">
        <f>+E45</f>
        <v>59650</v>
      </c>
      <c r="D57" s="165">
        <v>2</v>
      </c>
      <c r="E57" s="166">
        <f t="shared" ref="E57:E75" si="17">+ROUND(C57*D57/100,0)</f>
        <v>1193</v>
      </c>
      <c r="F57" s="166">
        <f t="shared" ref="F57:F75" si="18">C57+E57</f>
        <v>60843</v>
      </c>
      <c r="G57" s="164">
        <f>+F57*12</f>
        <v>730116</v>
      </c>
      <c r="H57" s="221">
        <f>+G57</f>
        <v>730116</v>
      </c>
      <c r="I57" s="221"/>
      <c r="J57" s="167">
        <f>+K44-H57+M42</f>
        <v>32577832</v>
      </c>
      <c r="K57" s="164">
        <f>+$M$42*12</f>
        <v>797796</v>
      </c>
    </row>
    <row r="58" spans="1:19" x14ac:dyDescent="0.25">
      <c r="A58" s="164">
        <v>3</v>
      </c>
      <c r="B58" s="164">
        <f t="shared" ref="B58:B75" si="19">+B57+1</f>
        <v>2060</v>
      </c>
      <c r="C58" s="164">
        <f>+C57</f>
        <v>59650</v>
      </c>
      <c r="D58" s="165">
        <f>+D57+$D$56</f>
        <v>10</v>
      </c>
      <c r="E58" s="166">
        <f t="shared" si="17"/>
        <v>5965</v>
      </c>
      <c r="F58" s="166">
        <f t="shared" si="18"/>
        <v>65615</v>
      </c>
      <c r="G58" s="164">
        <f t="shared" ref="G58:G75" si="20">+F58*12</f>
        <v>787380</v>
      </c>
      <c r="H58" s="221">
        <f>+H57+G58</f>
        <v>1517496</v>
      </c>
      <c r="I58" s="221"/>
      <c r="J58" s="167">
        <f>+J57-G58+K58</f>
        <v>32588248</v>
      </c>
      <c r="K58" s="164">
        <f>+$M$42*12</f>
        <v>797796</v>
      </c>
    </row>
    <row r="59" spans="1:19" x14ac:dyDescent="0.25">
      <c r="A59" s="164">
        <v>4</v>
      </c>
      <c r="B59" s="164">
        <f t="shared" si="19"/>
        <v>2061</v>
      </c>
      <c r="C59" s="164">
        <f t="shared" ref="C59:C75" si="21">+C58</f>
        <v>59650</v>
      </c>
      <c r="D59" s="165">
        <f t="shared" ref="D59:D75" si="22">+D58+$D$56</f>
        <v>18</v>
      </c>
      <c r="E59" s="166">
        <f t="shared" si="17"/>
        <v>10737</v>
      </c>
      <c r="F59" s="166">
        <f t="shared" si="18"/>
        <v>70387</v>
      </c>
      <c r="G59" s="164">
        <f t="shared" si="20"/>
        <v>844644</v>
      </c>
      <c r="H59" s="221">
        <f t="shared" ref="H59:H75" si="23">+H58+G59</f>
        <v>2362140</v>
      </c>
      <c r="I59" s="221"/>
      <c r="J59" s="167">
        <f>+J58-G59+K59</f>
        <v>32541400</v>
      </c>
      <c r="K59" s="164">
        <f t="shared" ref="K59:K74" si="24">+$M$42*12</f>
        <v>797796</v>
      </c>
    </row>
    <row r="60" spans="1:19" x14ac:dyDescent="0.25">
      <c r="A60" s="164">
        <v>5</v>
      </c>
      <c r="B60" s="164">
        <f t="shared" si="19"/>
        <v>2062</v>
      </c>
      <c r="C60" s="164">
        <f t="shared" si="21"/>
        <v>59650</v>
      </c>
      <c r="D60" s="165">
        <f t="shared" si="22"/>
        <v>26</v>
      </c>
      <c r="E60" s="166">
        <f t="shared" si="17"/>
        <v>15509</v>
      </c>
      <c r="F60" s="166">
        <f t="shared" si="18"/>
        <v>75159</v>
      </c>
      <c r="G60" s="164">
        <f t="shared" si="20"/>
        <v>901908</v>
      </c>
      <c r="H60" s="221">
        <f t="shared" si="23"/>
        <v>3264048</v>
      </c>
      <c r="I60" s="221"/>
      <c r="J60" s="167">
        <f t="shared" ref="J60:J70" si="25">+J59-G60+K60</f>
        <v>32437288</v>
      </c>
      <c r="K60" s="164">
        <f t="shared" si="24"/>
        <v>797796</v>
      </c>
    </row>
    <row r="61" spans="1:19" x14ac:dyDescent="0.25">
      <c r="A61" s="164">
        <v>6</v>
      </c>
      <c r="B61" s="164">
        <f t="shared" si="19"/>
        <v>2063</v>
      </c>
      <c r="C61" s="164">
        <f t="shared" si="21"/>
        <v>59650</v>
      </c>
      <c r="D61" s="165">
        <f t="shared" si="22"/>
        <v>34</v>
      </c>
      <c r="E61" s="166">
        <f t="shared" si="17"/>
        <v>20281</v>
      </c>
      <c r="F61" s="166">
        <f t="shared" si="18"/>
        <v>79931</v>
      </c>
      <c r="G61" s="164">
        <f t="shared" si="20"/>
        <v>959172</v>
      </c>
      <c r="H61" s="221">
        <f t="shared" si="23"/>
        <v>4223220</v>
      </c>
      <c r="I61" s="221"/>
      <c r="J61" s="167">
        <f t="shared" si="25"/>
        <v>32275912</v>
      </c>
      <c r="K61" s="164">
        <f t="shared" si="24"/>
        <v>797796</v>
      </c>
    </row>
    <row r="62" spans="1:19" x14ac:dyDescent="0.25">
      <c r="A62" s="164">
        <v>7</v>
      </c>
      <c r="B62" s="164">
        <f t="shared" si="19"/>
        <v>2064</v>
      </c>
      <c r="C62" s="164">
        <f t="shared" si="21"/>
        <v>59650</v>
      </c>
      <c r="D62" s="165">
        <f t="shared" si="22"/>
        <v>42</v>
      </c>
      <c r="E62" s="166">
        <f t="shared" si="17"/>
        <v>25053</v>
      </c>
      <c r="F62" s="166">
        <f t="shared" si="18"/>
        <v>84703</v>
      </c>
      <c r="G62" s="164">
        <f t="shared" si="20"/>
        <v>1016436</v>
      </c>
      <c r="H62" s="221">
        <f t="shared" si="23"/>
        <v>5239656</v>
      </c>
      <c r="I62" s="221"/>
      <c r="J62" s="167">
        <f t="shared" si="25"/>
        <v>32057272</v>
      </c>
      <c r="K62" s="164">
        <f t="shared" si="24"/>
        <v>797796</v>
      </c>
    </row>
    <row r="63" spans="1:19" x14ac:dyDescent="0.25">
      <c r="A63" s="164">
        <v>8</v>
      </c>
      <c r="B63" s="164">
        <f t="shared" si="19"/>
        <v>2065</v>
      </c>
      <c r="C63" s="164">
        <f t="shared" si="21"/>
        <v>59650</v>
      </c>
      <c r="D63" s="165">
        <f t="shared" si="22"/>
        <v>50</v>
      </c>
      <c r="E63" s="166">
        <f t="shared" si="17"/>
        <v>29825</v>
      </c>
      <c r="F63" s="166">
        <f t="shared" si="18"/>
        <v>89475</v>
      </c>
      <c r="G63" s="164">
        <f t="shared" si="20"/>
        <v>1073700</v>
      </c>
      <c r="H63" s="221">
        <f t="shared" si="23"/>
        <v>6313356</v>
      </c>
      <c r="I63" s="221"/>
      <c r="J63" s="167">
        <f t="shared" si="25"/>
        <v>31781368</v>
      </c>
      <c r="K63" s="164">
        <f t="shared" si="24"/>
        <v>797796</v>
      </c>
    </row>
    <row r="64" spans="1:19" x14ac:dyDescent="0.25">
      <c r="A64" s="164">
        <v>9</v>
      </c>
      <c r="B64" s="164">
        <f t="shared" si="19"/>
        <v>2066</v>
      </c>
      <c r="C64" s="164">
        <f t="shared" si="21"/>
        <v>59650</v>
      </c>
      <c r="D64" s="165">
        <f t="shared" si="22"/>
        <v>58</v>
      </c>
      <c r="E64" s="166">
        <f t="shared" si="17"/>
        <v>34597</v>
      </c>
      <c r="F64" s="166">
        <f t="shared" si="18"/>
        <v>94247</v>
      </c>
      <c r="G64" s="164">
        <f t="shared" si="20"/>
        <v>1130964</v>
      </c>
      <c r="H64" s="221">
        <f t="shared" si="23"/>
        <v>7444320</v>
      </c>
      <c r="I64" s="221"/>
      <c r="J64" s="167">
        <f t="shared" si="25"/>
        <v>31448200</v>
      </c>
      <c r="K64" s="164">
        <f t="shared" si="24"/>
        <v>797796</v>
      </c>
    </row>
    <row r="65" spans="1:11" x14ac:dyDescent="0.25">
      <c r="A65" s="164">
        <v>10</v>
      </c>
      <c r="B65" s="164">
        <f t="shared" si="19"/>
        <v>2067</v>
      </c>
      <c r="C65" s="164">
        <f t="shared" si="21"/>
        <v>59650</v>
      </c>
      <c r="D65" s="165">
        <f t="shared" si="22"/>
        <v>66</v>
      </c>
      <c r="E65" s="166">
        <f t="shared" si="17"/>
        <v>39369</v>
      </c>
      <c r="F65" s="166">
        <f t="shared" si="18"/>
        <v>99019</v>
      </c>
      <c r="G65" s="164">
        <f t="shared" si="20"/>
        <v>1188228</v>
      </c>
      <c r="H65" s="221">
        <f t="shared" si="23"/>
        <v>8632548</v>
      </c>
      <c r="I65" s="221"/>
      <c r="J65" s="167">
        <f t="shared" si="25"/>
        <v>31057768</v>
      </c>
      <c r="K65" s="164">
        <f t="shared" si="24"/>
        <v>797796</v>
      </c>
    </row>
    <row r="66" spans="1:11" x14ac:dyDescent="0.25">
      <c r="A66" s="164">
        <v>11</v>
      </c>
      <c r="B66" s="164">
        <f t="shared" si="19"/>
        <v>2068</v>
      </c>
      <c r="C66" s="164">
        <f t="shared" si="21"/>
        <v>59650</v>
      </c>
      <c r="D66" s="165">
        <f t="shared" si="22"/>
        <v>74</v>
      </c>
      <c r="E66" s="166">
        <f t="shared" si="17"/>
        <v>44141</v>
      </c>
      <c r="F66" s="166">
        <f t="shared" si="18"/>
        <v>103791</v>
      </c>
      <c r="G66" s="164">
        <f t="shared" si="20"/>
        <v>1245492</v>
      </c>
      <c r="H66" s="221">
        <f t="shared" si="23"/>
        <v>9878040</v>
      </c>
      <c r="I66" s="221"/>
      <c r="J66" s="167">
        <f t="shared" si="25"/>
        <v>30610072</v>
      </c>
      <c r="K66" s="164">
        <f t="shared" si="24"/>
        <v>797796</v>
      </c>
    </row>
    <row r="67" spans="1:11" x14ac:dyDescent="0.25">
      <c r="A67" s="164">
        <v>12</v>
      </c>
      <c r="B67" s="164">
        <f t="shared" si="19"/>
        <v>2069</v>
      </c>
      <c r="C67" s="164">
        <f t="shared" si="21"/>
        <v>59650</v>
      </c>
      <c r="D67" s="165">
        <f t="shared" si="22"/>
        <v>82</v>
      </c>
      <c r="E67" s="166">
        <f t="shared" si="17"/>
        <v>48913</v>
      </c>
      <c r="F67" s="166">
        <f t="shared" si="18"/>
        <v>108563</v>
      </c>
      <c r="G67" s="164">
        <f t="shared" si="20"/>
        <v>1302756</v>
      </c>
      <c r="H67" s="221">
        <f t="shared" si="23"/>
        <v>11180796</v>
      </c>
      <c r="I67" s="221"/>
      <c r="J67" s="167">
        <f t="shared" si="25"/>
        <v>30105112</v>
      </c>
      <c r="K67" s="164">
        <f t="shared" si="24"/>
        <v>797796</v>
      </c>
    </row>
    <row r="68" spans="1:11" x14ac:dyDescent="0.25">
      <c r="A68" s="164">
        <v>13</v>
      </c>
      <c r="B68" s="164">
        <f t="shared" si="19"/>
        <v>2070</v>
      </c>
      <c r="C68" s="164">
        <f t="shared" si="21"/>
        <v>59650</v>
      </c>
      <c r="D68" s="165">
        <f t="shared" si="22"/>
        <v>90</v>
      </c>
      <c r="E68" s="166">
        <f t="shared" si="17"/>
        <v>53685</v>
      </c>
      <c r="F68" s="166">
        <f t="shared" si="18"/>
        <v>113335</v>
      </c>
      <c r="G68" s="164">
        <f t="shared" si="20"/>
        <v>1360020</v>
      </c>
      <c r="H68" s="221">
        <f t="shared" si="23"/>
        <v>12540816</v>
      </c>
      <c r="I68" s="221"/>
      <c r="J68" s="167">
        <f t="shared" si="25"/>
        <v>29542888</v>
      </c>
      <c r="K68" s="164">
        <f t="shared" si="24"/>
        <v>797796</v>
      </c>
    </row>
    <row r="69" spans="1:11" x14ac:dyDescent="0.25">
      <c r="A69" s="164">
        <v>14</v>
      </c>
      <c r="B69" s="164">
        <f t="shared" si="19"/>
        <v>2071</v>
      </c>
      <c r="C69" s="164">
        <f t="shared" si="21"/>
        <v>59650</v>
      </c>
      <c r="D69" s="165">
        <f t="shared" si="22"/>
        <v>98</v>
      </c>
      <c r="E69" s="166">
        <f t="shared" si="17"/>
        <v>58457</v>
      </c>
      <c r="F69" s="166">
        <f t="shared" si="18"/>
        <v>118107</v>
      </c>
      <c r="G69" s="164">
        <f t="shared" si="20"/>
        <v>1417284</v>
      </c>
      <c r="H69" s="221">
        <f t="shared" si="23"/>
        <v>13958100</v>
      </c>
      <c r="I69" s="221"/>
      <c r="J69" s="167">
        <f>+J68-G69+K69</f>
        <v>28923400</v>
      </c>
      <c r="K69" s="164">
        <f t="shared" si="24"/>
        <v>797796</v>
      </c>
    </row>
    <row r="70" spans="1:11" x14ac:dyDescent="0.25">
      <c r="A70" s="164">
        <v>15</v>
      </c>
      <c r="B70" s="164">
        <f t="shared" si="19"/>
        <v>2072</v>
      </c>
      <c r="C70" s="164">
        <f t="shared" si="21"/>
        <v>59650</v>
      </c>
      <c r="D70" s="165">
        <f t="shared" si="22"/>
        <v>106</v>
      </c>
      <c r="E70" s="166">
        <f t="shared" si="17"/>
        <v>63229</v>
      </c>
      <c r="F70" s="166">
        <f t="shared" si="18"/>
        <v>122879</v>
      </c>
      <c r="G70" s="164">
        <f t="shared" si="20"/>
        <v>1474548</v>
      </c>
      <c r="H70" s="221">
        <f t="shared" si="23"/>
        <v>15432648</v>
      </c>
      <c r="I70" s="221"/>
      <c r="J70" s="167">
        <f t="shared" si="25"/>
        <v>28246648</v>
      </c>
      <c r="K70" s="164">
        <f t="shared" si="24"/>
        <v>797796</v>
      </c>
    </row>
    <row r="71" spans="1:11" x14ac:dyDescent="0.25">
      <c r="A71" s="164">
        <v>16</v>
      </c>
      <c r="B71" s="164">
        <f t="shared" si="19"/>
        <v>2073</v>
      </c>
      <c r="C71" s="164">
        <f t="shared" si="21"/>
        <v>59650</v>
      </c>
      <c r="D71" s="165">
        <f t="shared" si="22"/>
        <v>114</v>
      </c>
      <c r="E71" s="166">
        <f t="shared" si="17"/>
        <v>68001</v>
      </c>
      <c r="F71" s="166">
        <f t="shared" si="18"/>
        <v>127651</v>
      </c>
      <c r="G71" s="164">
        <f t="shared" si="20"/>
        <v>1531812</v>
      </c>
      <c r="H71" s="221">
        <f t="shared" si="23"/>
        <v>16964460</v>
      </c>
      <c r="I71" s="221"/>
      <c r="J71" s="167">
        <f>+J70-G71+K71</f>
        <v>27512632</v>
      </c>
      <c r="K71" s="164">
        <f t="shared" si="24"/>
        <v>797796</v>
      </c>
    </row>
    <row r="72" spans="1:11" x14ac:dyDescent="0.25">
      <c r="A72" s="164">
        <v>17</v>
      </c>
      <c r="B72" s="164">
        <f t="shared" si="19"/>
        <v>2074</v>
      </c>
      <c r="C72" s="164">
        <f t="shared" si="21"/>
        <v>59650</v>
      </c>
      <c r="D72" s="165">
        <f t="shared" si="22"/>
        <v>122</v>
      </c>
      <c r="E72" s="166">
        <f t="shared" si="17"/>
        <v>72773</v>
      </c>
      <c r="F72" s="166">
        <f t="shared" si="18"/>
        <v>132423</v>
      </c>
      <c r="G72" s="164">
        <f t="shared" si="20"/>
        <v>1589076</v>
      </c>
      <c r="H72" s="221">
        <f t="shared" si="23"/>
        <v>18553536</v>
      </c>
      <c r="I72" s="221"/>
      <c r="J72" s="167">
        <f t="shared" ref="J72:J74" si="26">+J71-G72+K72</f>
        <v>26721352</v>
      </c>
      <c r="K72" s="164">
        <f t="shared" si="24"/>
        <v>797796</v>
      </c>
    </row>
    <row r="73" spans="1:11" x14ac:dyDescent="0.25">
      <c r="A73" s="164">
        <v>18</v>
      </c>
      <c r="B73" s="164">
        <f t="shared" si="19"/>
        <v>2075</v>
      </c>
      <c r="C73" s="164">
        <f t="shared" si="21"/>
        <v>59650</v>
      </c>
      <c r="D73" s="165">
        <f t="shared" si="22"/>
        <v>130</v>
      </c>
      <c r="E73" s="166">
        <f t="shared" si="17"/>
        <v>77545</v>
      </c>
      <c r="F73" s="166">
        <f t="shared" si="18"/>
        <v>137195</v>
      </c>
      <c r="G73" s="164">
        <f t="shared" si="20"/>
        <v>1646340</v>
      </c>
      <c r="H73" s="221">
        <f t="shared" si="23"/>
        <v>20199876</v>
      </c>
      <c r="I73" s="221"/>
      <c r="J73" s="167">
        <f t="shared" si="26"/>
        <v>25872808</v>
      </c>
      <c r="K73" s="164">
        <f t="shared" si="24"/>
        <v>797796</v>
      </c>
    </row>
    <row r="74" spans="1:11" x14ac:dyDescent="0.25">
      <c r="A74" s="164">
        <v>19</v>
      </c>
      <c r="B74" s="164">
        <f t="shared" si="19"/>
        <v>2076</v>
      </c>
      <c r="C74" s="164">
        <f t="shared" si="21"/>
        <v>59650</v>
      </c>
      <c r="D74" s="165">
        <f t="shared" si="22"/>
        <v>138</v>
      </c>
      <c r="E74" s="166">
        <f t="shared" si="17"/>
        <v>82317</v>
      </c>
      <c r="F74" s="166">
        <f t="shared" si="18"/>
        <v>141967</v>
      </c>
      <c r="G74" s="164">
        <f t="shared" si="20"/>
        <v>1703604</v>
      </c>
      <c r="H74" s="221">
        <f t="shared" si="23"/>
        <v>21903480</v>
      </c>
      <c r="I74" s="221"/>
      <c r="J74" s="167">
        <f t="shared" si="26"/>
        <v>24967000</v>
      </c>
      <c r="K74" s="164">
        <f t="shared" si="24"/>
        <v>797796</v>
      </c>
    </row>
    <row r="75" spans="1:11" x14ac:dyDescent="0.25">
      <c r="A75" s="164">
        <v>20</v>
      </c>
      <c r="B75" s="164">
        <f t="shared" si="19"/>
        <v>2077</v>
      </c>
      <c r="C75" s="164">
        <f t="shared" si="21"/>
        <v>59650</v>
      </c>
      <c r="D75" s="165">
        <f t="shared" si="22"/>
        <v>146</v>
      </c>
      <c r="E75" s="166">
        <f t="shared" si="17"/>
        <v>87089</v>
      </c>
      <c r="F75" s="166">
        <f t="shared" si="18"/>
        <v>146739</v>
      </c>
      <c r="G75" s="164">
        <f t="shared" si="20"/>
        <v>1760868</v>
      </c>
      <c r="H75" s="217">
        <f t="shared" si="23"/>
        <v>23664348</v>
      </c>
      <c r="I75" s="217"/>
      <c r="J75" s="167"/>
      <c r="K75" s="164"/>
    </row>
    <row r="77" spans="1:11" x14ac:dyDescent="0.25">
      <c r="G77" s="223"/>
      <c r="H77" s="223"/>
      <c r="I77" s="139"/>
    </row>
  </sheetData>
  <mergeCells count="90">
    <mergeCell ref="G77:H77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64:I64"/>
    <mergeCell ref="G55:G56"/>
    <mergeCell ref="H55:I56"/>
    <mergeCell ref="J55:J56"/>
    <mergeCell ref="K55:K56"/>
    <mergeCell ref="H57:I57"/>
    <mergeCell ref="H58:I58"/>
    <mergeCell ref="H59:I59"/>
    <mergeCell ref="H60:I60"/>
    <mergeCell ref="H61:I61"/>
    <mergeCell ref="H62:I62"/>
    <mergeCell ref="H63:I63"/>
    <mergeCell ref="B51:D51"/>
    <mergeCell ref="E51:F51"/>
    <mergeCell ref="A55:A56"/>
    <mergeCell ref="B55:B56"/>
    <mergeCell ref="C55:C56"/>
    <mergeCell ref="E55:E56"/>
    <mergeCell ref="F55:F56"/>
    <mergeCell ref="B49:D49"/>
    <mergeCell ref="E49:F49"/>
    <mergeCell ref="O49:Q49"/>
    <mergeCell ref="R49:S49"/>
    <mergeCell ref="B50:D50"/>
    <mergeCell ref="E50:F50"/>
    <mergeCell ref="O50:Q50"/>
    <mergeCell ref="R50:S50"/>
    <mergeCell ref="C47:D47"/>
    <mergeCell ref="E47:F47"/>
    <mergeCell ref="O47:S47"/>
    <mergeCell ref="B48:F48"/>
    <mergeCell ref="O48:Q48"/>
    <mergeCell ref="R48:S48"/>
    <mergeCell ref="C45:D45"/>
    <mergeCell ref="E45:F45"/>
    <mergeCell ref="H45:L45"/>
    <mergeCell ref="P45:Q45"/>
    <mergeCell ref="R45:S45"/>
    <mergeCell ref="C46:D46"/>
    <mergeCell ref="E46:F46"/>
    <mergeCell ref="H46:L46"/>
    <mergeCell ref="P46:Q46"/>
    <mergeCell ref="R46:S46"/>
    <mergeCell ref="R42:S42"/>
    <mergeCell ref="R43:S43"/>
    <mergeCell ref="C44:D44"/>
    <mergeCell ref="E44:F44"/>
    <mergeCell ref="H44:J44"/>
    <mergeCell ref="K44:L44"/>
    <mergeCell ref="P44:Q44"/>
    <mergeCell ref="R44:S44"/>
    <mergeCell ref="C43:D43"/>
    <mergeCell ref="E43:F43"/>
    <mergeCell ref="H43:J43"/>
    <mergeCell ref="K43:L43"/>
    <mergeCell ref="P43:Q43"/>
    <mergeCell ref="G1:G2"/>
    <mergeCell ref="P1:P2"/>
    <mergeCell ref="B42:F42"/>
    <mergeCell ref="H42:J42"/>
    <mergeCell ref="K42:L42"/>
    <mergeCell ref="P42:Q42"/>
    <mergeCell ref="Q1:Q2"/>
    <mergeCell ref="R1:R2"/>
    <mergeCell ref="A3:N3"/>
    <mergeCell ref="H41:L41"/>
    <mergeCell ref="O41:S41"/>
    <mergeCell ref="H1:H2"/>
    <mergeCell ref="I1:I2"/>
    <mergeCell ref="J1:J2"/>
    <mergeCell ref="K1:K2"/>
    <mergeCell ref="L1:L2"/>
    <mergeCell ref="N1:N2"/>
    <mergeCell ref="A1:A2"/>
    <mergeCell ref="B1:B2"/>
    <mergeCell ref="C1:C2"/>
    <mergeCell ref="E1:E2"/>
    <mergeCell ref="F1:F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C830-88C1-4316-9BBD-346AF1EECBEE}">
  <dimension ref="F10:Q23"/>
  <sheetViews>
    <sheetView zoomScale="130" zoomScaleNormal="130" workbookViewId="0">
      <selection activeCell="N18" sqref="N18"/>
    </sheetView>
  </sheetViews>
  <sheetFormatPr defaultRowHeight="15" x14ac:dyDescent="0.25"/>
  <sheetData>
    <row r="10" spans="6:17" x14ac:dyDescent="0.25">
      <c r="G10" t="s">
        <v>197</v>
      </c>
      <c r="J10" t="s">
        <v>198</v>
      </c>
    </row>
    <row r="12" spans="6:17" x14ac:dyDescent="0.25">
      <c r="F12" t="s">
        <v>169</v>
      </c>
      <c r="G12">
        <v>15000</v>
      </c>
      <c r="J12">
        <v>30000</v>
      </c>
      <c r="L12">
        <f>+J12-G12</f>
        <v>15000</v>
      </c>
      <c r="N12">
        <f>+L12/J12%</f>
        <v>50</v>
      </c>
    </row>
    <row r="13" spans="6:17" x14ac:dyDescent="0.25">
      <c r="F13" t="s">
        <v>193</v>
      </c>
      <c r="G13">
        <f>+ROUND(G12*58%,0)</f>
        <v>8700</v>
      </c>
      <c r="J13">
        <v>0</v>
      </c>
      <c r="L13">
        <f t="shared" ref="L13:L17" si="0">+J13-G13</f>
        <v>-8700</v>
      </c>
    </row>
    <row r="14" spans="6:17" x14ac:dyDescent="0.25">
      <c r="F14" t="s">
        <v>173</v>
      </c>
      <c r="G14">
        <f>SUM(G12:G13)</f>
        <v>23700</v>
      </c>
      <c r="J14">
        <f>SUM(J12:J13)</f>
        <v>30000</v>
      </c>
      <c r="L14">
        <f t="shared" si="0"/>
        <v>6300</v>
      </c>
    </row>
    <row r="15" spans="6:17" x14ac:dyDescent="0.25">
      <c r="F15" t="s">
        <v>194</v>
      </c>
      <c r="G15">
        <v>3600</v>
      </c>
      <c r="J15">
        <f>+G15</f>
        <v>3600</v>
      </c>
      <c r="L15">
        <f t="shared" si="0"/>
        <v>0</v>
      </c>
      <c r="Q15">
        <f>23100*2</f>
        <v>46200</v>
      </c>
    </row>
    <row r="16" spans="6:17" x14ac:dyDescent="0.25">
      <c r="F16" t="s">
        <v>195</v>
      </c>
      <c r="G16">
        <v>120</v>
      </c>
      <c r="J16">
        <v>120</v>
      </c>
      <c r="L16">
        <f t="shared" si="0"/>
        <v>0</v>
      </c>
    </row>
    <row r="17" spans="6:15" x14ac:dyDescent="0.25">
      <c r="F17" t="s">
        <v>196</v>
      </c>
      <c r="G17">
        <v>1350</v>
      </c>
      <c r="J17">
        <v>1350</v>
      </c>
      <c r="L17">
        <f t="shared" si="0"/>
        <v>0</v>
      </c>
    </row>
    <row r="18" spans="6:15" x14ac:dyDescent="0.25">
      <c r="G18">
        <f>SUM(G14:G17)</f>
        <v>28770</v>
      </c>
      <c r="J18">
        <f>SUM(J14:J17)</f>
        <v>35070</v>
      </c>
      <c r="L18">
        <f>+J18-G18</f>
        <v>6300</v>
      </c>
      <c r="N18">
        <f>+L18/J18%</f>
        <v>17.964071856287426</v>
      </c>
    </row>
    <row r="21" spans="6:15" x14ac:dyDescent="0.25">
      <c r="J21">
        <f>+J12-G18</f>
        <v>1230</v>
      </c>
    </row>
    <row r="22" spans="6:15" x14ac:dyDescent="0.25">
      <c r="J22">
        <f>+J21/G18%</f>
        <v>4.2752867570385824</v>
      </c>
      <c r="O22">
        <f>23100*20%</f>
        <v>4620</v>
      </c>
    </row>
    <row r="23" spans="6:15" x14ac:dyDescent="0.25">
      <c r="O23">
        <f>23100+4620</f>
        <v>27720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B2F7-4976-45D7-A983-BEE60C4779F7}">
  <dimension ref="A1:V100"/>
  <sheetViews>
    <sheetView view="pageBreakPreview" zoomScale="130" zoomScaleNormal="175" zoomScaleSheetLayoutView="130" workbookViewId="0">
      <pane ySplit="2" topLeftCell="A3" activePane="bottomLeft" state="frozen"/>
      <selection pane="bottomLeft" activeCell="A75" sqref="A75:L75"/>
    </sheetView>
  </sheetViews>
  <sheetFormatPr defaultRowHeight="18" x14ac:dyDescent="0.4"/>
  <cols>
    <col min="1" max="1" width="14.85546875" style="1" customWidth="1"/>
    <col min="2" max="2" width="9.140625" style="1" customWidth="1"/>
    <col min="3" max="3" width="10.7109375" style="1" customWidth="1"/>
    <col min="4" max="4" width="11.7109375" style="1" customWidth="1"/>
    <col min="5" max="5" width="10.28515625" style="1" customWidth="1"/>
    <col min="6" max="6" width="11.42578125" style="1" customWidth="1"/>
    <col min="7" max="7" width="9.7109375" style="1" customWidth="1"/>
    <col min="8" max="8" width="11" style="1" customWidth="1"/>
    <col min="9" max="9" width="15.140625" style="1" customWidth="1"/>
    <col min="10" max="10" width="12.28515625" style="1" customWidth="1"/>
    <col min="11" max="11" width="12.5703125" style="1" customWidth="1"/>
    <col min="12" max="12" width="11.85546875" style="1" customWidth="1"/>
    <col min="13" max="13" width="14.5703125" style="1" customWidth="1"/>
    <col min="14" max="14" width="13.140625" style="8" customWidth="1"/>
    <col min="15" max="15" width="11.7109375" style="8" customWidth="1"/>
    <col min="16" max="16" width="8.85546875" style="1" customWidth="1"/>
    <col min="17" max="17" width="9" style="1" bestFit="1" customWidth="1"/>
    <col min="18" max="18" width="9.5703125" style="1" bestFit="1" customWidth="1"/>
    <col min="19" max="19" width="10.7109375" style="1" bestFit="1" customWidth="1"/>
    <col min="20" max="20" width="13" style="1" customWidth="1"/>
    <col min="21" max="21" width="9.140625" style="1"/>
    <col min="22" max="22" width="12.42578125" style="1" bestFit="1" customWidth="1"/>
    <col min="23" max="16384" width="9.140625" style="1"/>
  </cols>
  <sheetData>
    <row r="1" spans="1:21" ht="3" customHeight="1" x14ac:dyDescent="0.4"/>
    <row r="2" spans="1:21" s="4" customFormat="1" ht="59.25" customHeight="1" x14ac:dyDescent="0.25">
      <c r="A2" s="6" t="s">
        <v>0</v>
      </c>
      <c r="B2" s="7" t="s">
        <v>34</v>
      </c>
      <c r="C2" s="7" t="s">
        <v>12</v>
      </c>
      <c r="D2" s="7" t="s">
        <v>3</v>
      </c>
      <c r="E2" s="7" t="s">
        <v>1</v>
      </c>
      <c r="F2" s="7" t="s">
        <v>2</v>
      </c>
      <c r="G2" s="7" t="s">
        <v>14</v>
      </c>
      <c r="H2" s="7" t="s">
        <v>13</v>
      </c>
      <c r="I2" s="7" t="s">
        <v>4</v>
      </c>
      <c r="J2" s="7" t="s">
        <v>15</v>
      </c>
      <c r="K2" s="7" t="s">
        <v>11</v>
      </c>
      <c r="L2" s="7" t="s">
        <v>20</v>
      </c>
      <c r="M2" s="7" t="s">
        <v>6</v>
      </c>
      <c r="N2" s="15" t="s">
        <v>5</v>
      </c>
      <c r="O2" s="15" t="s">
        <v>7</v>
      </c>
      <c r="P2" s="19" t="s">
        <v>9</v>
      </c>
      <c r="Q2" s="19" t="s">
        <v>8</v>
      </c>
      <c r="R2" s="19" t="s">
        <v>10</v>
      </c>
      <c r="S2" s="19" t="s">
        <v>16</v>
      </c>
      <c r="T2" s="19" t="s">
        <v>33</v>
      </c>
      <c r="U2" s="242"/>
    </row>
    <row r="3" spans="1:21" ht="18.75" customHeight="1" x14ac:dyDescent="0.4">
      <c r="A3" s="10" t="s">
        <v>166</v>
      </c>
      <c r="B3" s="11"/>
      <c r="C3" s="243">
        <v>23100</v>
      </c>
      <c r="D3" s="244"/>
      <c r="E3" s="2"/>
      <c r="F3" s="9"/>
      <c r="G3" s="3">
        <v>0.14000000000000001</v>
      </c>
      <c r="H3" s="3">
        <v>0.1</v>
      </c>
      <c r="I3" s="2"/>
      <c r="J3" s="3"/>
      <c r="K3" s="3"/>
      <c r="L3" s="3"/>
      <c r="M3" s="3"/>
      <c r="N3" s="16">
        <v>0.06</v>
      </c>
      <c r="O3" s="17"/>
      <c r="P3" s="20"/>
      <c r="Q3" s="21">
        <v>0.04</v>
      </c>
      <c r="R3" s="20"/>
      <c r="S3" s="20"/>
      <c r="T3" s="20"/>
      <c r="U3" s="242"/>
    </row>
    <row r="4" spans="1:21" x14ac:dyDescent="0.4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7">
        <v>14</v>
      </c>
      <c r="O4" s="17">
        <v>15</v>
      </c>
      <c r="P4" s="20">
        <v>16</v>
      </c>
      <c r="Q4" s="20">
        <v>17</v>
      </c>
      <c r="R4" s="20">
        <v>18</v>
      </c>
      <c r="S4" s="20">
        <v>19</v>
      </c>
      <c r="T4" s="20">
        <v>20</v>
      </c>
      <c r="U4" s="242"/>
    </row>
    <row r="5" spans="1:21" x14ac:dyDescent="0.4">
      <c r="A5" s="64" t="s">
        <v>24</v>
      </c>
      <c r="B5" s="65"/>
      <c r="C5" s="66" t="s">
        <v>87</v>
      </c>
      <c r="D5" s="65"/>
      <c r="E5" s="65"/>
      <c r="F5" s="67" t="s">
        <v>25</v>
      </c>
      <c r="G5" s="68"/>
      <c r="H5" s="245">
        <v>42292</v>
      </c>
      <c r="I5" s="245"/>
      <c r="J5" s="69"/>
      <c r="K5" s="70" t="s">
        <v>29</v>
      </c>
      <c r="L5" s="71">
        <f ca="1">TODAY()</f>
        <v>46229</v>
      </c>
      <c r="M5" s="69"/>
      <c r="N5" s="72"/>
      <c r="O5" s="73"/>
      <c r="P5" s="74"/>
      <c r="Q5" s="74"/>
      <c r="R5" s="74"/>
      <c r="S5" s="74"/>
      <c r="T5" s="75"/>
      <c r="U5" s="242"/>
    </row>
    <row r="6" spans="1:21" x14ac:dyDescent="0.4">
      <c r="A6" s="76" t="s">
        <v>22</v>
      </c>
      <c r="B6" s="77"/>
      <c r="C6" s="78" t="s">
        <v>88</v>
      </c>
      <c r="D6" s="77"/>
      <c r="E6" s="77"/>
      <c r="F6" s="79" t="s">
        <v>27</v>
      </c>
      <c r="G6" s="80"/>
      <c r="H6" s="246">
        <f>EOMONTH(C7-1,12*58)</f>
        <v>53812</v>
      </c>
      <c r="I6" s="246"/>
      <c r="J6" s="81"/>
      <c r="K6" s="82" t="s">
        <v>30</v>
      </c>
      <c r="L6" s="83" t="str">
        <f ca="1">+DATEDIF(H5,L5,"Y")&amp;" Years, "&amp;DATEDIF(H5,L5,"Ym")&amp;" Months, "&amp;DATEDIF(H5,L5,"md")&amp;" Days "</f>
        <v xml:space="preserve">10 Years, 9 Months, 11 Days </v>
      </c>
      <c r="M6" s="81"/>
      <c r="N6" s="33"/>
      <c r="O6" s="33"/>
      <c r="P6" s="84"/>
      <c r="Q6" s="84"/>
      <c r="R6" s="84"/>
      <c r="S6" s="84"/>
      <c r="T6" s="85"/>
      <c r="U6" s="242"/>
    </row>
    <row r="7" spans="1:21" x14ac:dyDescent="0.4">
      <c r="A7" s="76" t="s">
        <v>26</v>
      </c>
      <c r="B7" s="77"/>
      <c r="C7" s="247">
        <v>32628</v>
      </c>
      <c r="D7" s="247"/>
      <c r="E7" s="77"/>
      <c r="F7" s="86" t="s">
        <v>28</v>
      </c>
      <c r="G7" s="80"/>
      <c r="H7" s="87" t="str">
        <f>+DATEDIF(H5,H6,"Y")&amp;" Years, "&amp;DATEDIF(H5,H6,"Ym")&amp;" Months, "&amp;DATEDIF(H5,H6,"md")&amp;" Days "</f>
        <v xml:space="preserve">31 Years, 6 Months, 15 Days </v>
      </c>
      <c r="I7" s="80"/>
      <c r="J7" s="81"/>
      <c r="K7" s="81"/>
      <c r="L7" s="81"/>
      <c r="M7" s="81"/>
      <c r="N7" s="33"/>
      <c r="O7" s="33"/>
      <c r="P7" s="84"/>
      <c r="Q7" s="84"/>
      <c r="R7" s="84"/>
      <c r="S7" s="84"/>
      <c r="T7" s="85"/>
      <c r="U7" s="242"/>
    </row>
    <row r="8" spans="1:21" x14ac:dyDescent="0.4">
      <c r="A8" s="88" t="s">
        <v>31</v>
      </c>
      <c r="B8" s="89"/>
      <c r="C8" s="89"/>
      <c r="D8" s="89"/>
      <c r="E8" s="89"/>
      <c r="F8" s="89"/>
      <c r="G8" s="89"/>
      <c r="H8" s="89"/>
      <c r="I8" s="89"/>
      <c r="J8" s="89"/>
      <c r="K8" s="248">
        <f>811709-20000</f>
        <v>791709</v>
      </c>
      <c r="L8" s="248"/>
      <c r="M8" s="89"/>
      <c r="N8" s="89"/>
      <c r="O8" s="89"/>
      <c r="P8" s="89"/>
      <c r="Q8" s="89"/>
      <c r="R8" s="89"/>
      <c r="S8" s="89"/>
      <c r="T8" s="89"/>
      <c r="U8" s="242"/>
    </row>
    <row r="9" spans="1:21" x14ac:dyDescent="0.4">
      <c r="A9" s="90"/>
      <c r="B9" s="29"/>
      <c r="C9" s="29"/>
      <c r="D9" s="249"/>
      <c r="E9" s="249"/>
      <c r="F9" s="29"/>
      <c r="G9" s="91">
        <f>ROUND(K8*64%,0)</f>
        <v>506694</v>
      </c>
      <c r="H9" s="91">
        <f>ROUND(K8*36%,0)</f>
        <v>285015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42"/>
    </row>
    <row r="10" spans="1:21" x14ac:dyDescent="0.4">
      <c r="A10" s="58">
        <v>45658</v>
      </c>
      <c r="B10" s="59">
        <v>1</v>
      </c>
      <c r="C10" s="135">
        <f>+C3</f>
        <v>23100</v>
      </c>
      <c r="D10" s="60">
        <v>0.56000000000000005</v>
      </c>
      <c r="E10" s="59">
        <f>ROUND(C10*D10,0)</f>
        <v>12936</v>
      </c>
      <c r="F10" s="59">
        <f>+C10+E10</f>
        <v>36036</v>
      </c>
      <c r="G10" s="59">
        <f>ROUND(F10*$G$3,0)</f>
        <v>5045</v>
      </c>
      <c r="H10" s="59">
        <f>ROUND(F10*$H$3,0)</f>
        <v>3604</v>
      </c>
      <c r="I10" s="59">
        <f>+G10+H10</f>
        <v>8649</v>
      </c>
      <c r="J10" s="59">
        <f>+G10*12+G9</f>
        <v>567234</v>
      </c>
      <c r="K10" s="59">
        <f>+H10*12+H9</f>
        <v>328263</v>
      </c>
      <c r="L10" s="59">
        <f>+J10+K10</f>
        <v>895497</v>
      </c>
      <c r="M10" s="59">
        <f>+L10</f>
        <v>895497</v>
      </c>
      <c r="N10" s="61">
        <f>ROUND(M10*$N$3,0)</f>
        <v>53730</v>
      </c>
      <c r="O10" s="61">
        <f>+M10+N10</f>
        <v>949227</v>
      </c>
      <c r="P10" s="62">
        <f>+A10</f>
        <v>45658</v>
      </c>
      <c r="Q10" s="63">
        <v>40</v>
      </c>
      <c r="R10" s="25">
        <f>+M10/Q10</f>
        <v>22387.424999999999</v>
      </c>
      <c r="S10" s="63">
        <f>+R10</f>
        <v>22387.424999999999</v>
      </c>
      <c r="T10" s="25">
        <f>ROUND(Q10*S10,0)</f>
        <v>895497</v>
      </c>
      <c r="U10" s="242"/>
    </row>
    <row r="11" spans="1:21" s="5" customFormat="1" x14ac:dyDescent="0.4">
      <c r="A11" s="12">
        <f>+IF($H$6&lt;=A10,"",DATE(YEAR(A10)+1,MONTH(A10),1))</f>
        <v>46023</v>
      </c>
      <c r="B11" s="13">
        <f>IF(OR(A11=0,A11=""),0,(B10+1))</f>
        <v>2</v>
      </c>
      <c r="C11" s="36">
        <f>+IF($H$6&lt;A10,"",IF(CEILING(C10*3%,100)-ROUND(C10*3%,0)&lt;=50,CEILING(C10*3%,100),CEILING(C10*3%,100)-100)+C10)</f>
        <v>23800</v>
      </c>
      <c r="D11" s="14">
        <f>IF(OR(A11=0, A11=""), 0, (D10+6%))</f>
        <v>0.62000000000000011</v>
      </c>
      <c r="E11" s="13">
        <f>IF(OR(A11=0,A11=""),0,ROUND(C11*D11,0))</f>
        <v>14756</v>
      </c>
      <c r="F11" s="13">
        <f>IF(OR(A11=0,A11=""),0,(C11+E11))</f>
        <v>38556</v>
      </c>
      <c r="G11" s="13">
        <f>ROUND(F11*$G$3,0)</f>
        <v>5398</v>
      </c>
      <c r="H11" s="13">
        <f t="shared" ref="H11" si="0">ROUND(F11*$H$3,0)</f>
        <v>3856</v>
      </c>
      <c r="I11" s="13">
        <f>+G11+H11</f>
        <v>9254</v>
      </c>
      <c r="J11" s="13">
        <f>+G11*12</f>
        <v>64776</v>
      </c>
      <c r="K11" s="13">
        <f>+H11*12</f>
        <v>46272</v>
      </c>
      <c r="L11" s="13">
        <f>+J11+K11</f>
        <v>111048</v>
      </c>
      <c r="M11" s="13">
        <f>IF(OR(A11=0,A11=""),0,(L11+M10))</f>
        <v>1006545</v>
      </c>
      <c r="N11" s="18">
        <f>ROUND(M11*$N$3,0)</f>
        <v>60393</v>
      </c>
      <c r="O11" s="18">
        <f>+M11+N11</f>
        <v>1066938</v>
      </c>
      <c r="P11" s="22">
        <f t="shared" ref="P11:P42" si="1">+A11</f>
        <v>46023</v>
      </c>
      <c r="Q11" s="23">
        <f>IF(OR(A11=0,A11=""),0,(Q10*$Q$3+Q10))</f>
        <v>41.6</v>
      </c>
      <c r="R11" s="23">
        <f>IF(OR(A11=0,A11=""),0,(L11/Q11))</f>
        <v>2669.4230769230767</v>
      </c>
      <c r="S11" s="23">
        <f t="shared" ref="S11:S15" si="2">IF(OR(A11=0,A11=""),0,(S10+R11))</f>
        <v>25056.848076923077</v>
      </c>
      <c r="T11" s="24">
        <f t="shared" ref="T11:T45" si="3">ROUND(Q11*S11,0)</f>
        <v>1042365</v>
      </c>
      <c r="U11" s="242"/>
    </row>
    <row r="12" spans="1:21" x14ac:dyDescent="0.4">
      <c r="A12" s="12">
        <f t="shared" ref="A12:A45" si="4">+IF($H$6&lt;=A11,"",DATE(YEAR(A11)+1,MONTH(A11),1))</f>
        <v>46388</v>
      </c>
      <c r="B12" s="13">
        <f t="shared" ref="B12:B45" si="5">IF(OR(A12=0,A12=""),0,(B11+1))</f>
        <v>3</v>
      </c>
      <c r="C12" s="36">
        <f>+IF($H$6&lt;A11,"",IF(CEILING(C11*3%,100)-ROUND(C11*3%,0)&lt;=50,CEILING(C11*3%,100),CEILING(C11*3%,100)-100)+C11)</f>
        <v>24500</v>
      </c>
      <c r="D12" s="14">
        <f t="shared" ref="D12:D45" si="6">IF(OR(A12=0, A12=""), 0, (D11+6%))</f>
        <v>0.68000000000000016</v>
      </c>
      <c r="E12" s="13">
        <f t="shared" ref="E12:E45" si="7">IF(OR(A12=0,A12=""),0,ROUND(C12*D12,0))</f>
        <v>16660</v>
      </c>
      <c r="F12" s="13">
        <f t="shared" ref="F12:F45" si="8">IF(OR(A12=0,A12=""),0,(C12+E12))</f>
        <v>41160</v>
      </c>
      <c r="G12" s="13">
        <f>ROUND(F12*$G$3,0)</f>
        <v>5762</v>
      </c>
      <c r="H12" s="13">
        <f>ROUND(F12*$H$3,0)</f>
        <v>4116</v>
      </c>
      <c r="I12" s="13">
        <f>+G12+H12</f>
        <v>9878</v>
      </c>
      <c r="J12" s="13">
        <f t="shared" ref="J12:K27" si="9">+G12*12</f>
        <v>69144</v>
      </c>
      <c r="K12" s="13">
        <f t="shared" si="9"/>
        <v>49392</v>
      </c>
      <c r="L12" s="13">
        <f t="shared" ref="L12:L45" si="10">+J12+K12</f>
        <v>118536</v>
      </c>
      <c r="M12" s="13">
        <f t="shared" ref="M12:M45" si="11">IF(OR(A12=0,A12=""),0,(L12+M11))</f>
        <v>1125081</v>
      </c>
      <c r="N12" s="18">
        <f>ROUND(M12*$N$3,0)</f>
        <v>67505</v>
      </c>
      <c r="O12" s="18">
        <f t="shared" ref="O12:O45" si="12">+M12+N12</f>
        <v>1192586</v>
      </c>
      <c r="P12" s="22">
        <f t="shared" si="1"/>
        <v>46388</v>
      </c>
      <c r="Q12" s="23">
        <f t="shared" ref="Q12:Q45" si="13">IF(OR(A12=0,A12=""),0,(Q11*$Q$3+Q11))</f>
        <v>43.264000000000003</v>
      </c>
      <c r="R12" s="23">
        <f t="shared" ref="R12:R45" si="14">IF(OR(A12=0,A12=""),0,(L12/Q12))</f>
        <v>2739.8298816568044</v>
      </c>
      <c r="S12" s="23">
        <f t="shared" si="2"/>
        <v>27796.677958579883</v>
      </c>
      <c r="T12" s="24">
        <f t="shared" si="3"/>
        <v>1202595</v>
      </c>
      <c r="U12" s="242"/>
    </row>
    <row r="13" spans="1:21" s="5" customFormat="1" x14ac:dyDescent="0.4">
      <c r="A13" s="12">
        <f t="shared" si="4"/>
        <v>46753</v>
      </c>
      <c r="B13" s="13">
        <f t="shared" si="5"/>
        <v>4</v>
      </c>
      <c r="C13" s="36">
        <f>+IF($H$6&lt;A12,"",IF(CEILING(C12*3%,100)-ROUND(C12*3%,0)&lt;=50,CEILING(C12*3%,100),CEILING(C12*3%,100)-100)+C12)</f>
        <v>25200</v>
      </c>
      <c r="D13" s="14">
        <f t="shared" si="6"/>
        <v>0.74000000000000021</v>
      </c>
      <c r="E13" s="13">
        <f t="shared" si="7"/>
        <v>18648</v>
      </c>
      <c r="F13" s="13">
        <f t="shared" si="8"/>
        <v>43848</v>
      </c>
      <c r="G13" s="13">
        <f t="shared" ref="G13:G45" si="15">ROUND(F13*$G$3,0)</f>
        <v>6139</v>
      </c>
      <c r="H13" s="13">
        <f t="shared" ref="H13:H45" si="16">ROUND(F13*$H$3,0)</f>
        <v>4385</v>
      </c>
      <c r="I13" s="13">
        <f t="shared" ref="I13:I45" si="17">+G13+H13</f>
        <v>10524</v>
      </c>
      <c r="J13" s="13">
        <f t="shared" si="9"/>
        <v>73668</v>
      </c>
      <c r="K13" s="13">
        <f t="shared" si="9"/>
        <v>52620</v>
      </c>
      <c r="L13" s="13">
        <f t="shared" si="10"/>
        <v>126288</v>
      </c>
      <c r="M13" s="13">
        <f t="shared" si="11"/>
        <v>1251369</v>
      </c>
      <c r="N13" s="18">
        <f t="shared" ref="N13:N45" si="18">ROUND(M13*$N$3,0)</f>
        <v>75082</v>
      </c>
      <c r="O13" s="18">
        <f t="shared" si="12"/>
        <v>1326451</v>
      </c>
      <c r="P13" s="22">
        <f t="shared" si="1"/>
        <v>46753</v>
      </c>
      <c r="Q13" s="23">
        <f t="shared" si="13"/>
        <v>44.99456</v>
      </c>
      <c r="R13" s="23">
        <f t="shared" si="14"/>
        <v>2806.7393035958125</v>
      </c>
      <c r="S13" s="23">
        <f t="shared" si="2"/>
        <v>30603.417262175695</v>
      </c>
      <c r="T13" s="24">
        <f t="shared" si="3"/>
        <v>1376987</v>
      </c>
      <c r="U13" s="242"/>
    </row>
    <row r="14" spans="1:21" x14ac:dyDescent="0.4">
      <c r="A14" s="12">
        <f>+IF($H$6&lt;=A13,"",DATE(YEAR(A13)+1,MONTH(A13),1))</f>
        <v>47119</v>
      </c>
      <c r="B14" s="13">
        <f t="shared" si="5"/>
        <v>5</v>
      </c>
      <c r="C14" s="36">
        <f t="shared" ref="C14:C24" si="19">+IF($H$6&lt;A13,"",IF(CEILING(C13*3%,100)-ROUND(C13*3%,0)&lt;=50,CEILING(C13*3%,100),CEILING(C13*3%,100)-100)+C13)</f>
        <v>26000</v>
      </c>
      <c r="D14" s="14">
        <f t="shared" si="6"/>
        <v>0.80000000000000027</v>
      </c>
      <c r="E14" s="13">
        <f t="shared" si="7"/>
        <v>20800</v>
      </c>
      <c r="F14" s="13">
        <f t="shared" si="8"/>
        <v>46800</v>
      </c>
      <c r="G14" s="13">
        <f t="shared" si="15"/>
        <v>6552</v>
      </c>
      <c r="H14" s="13">
        <f t="shared" si="16"/>
        <v>4680</v>
      </c>
      <c r="I14" s="13">
        <f t="shared" si="17"/>
        <v>11232</v>
      </c>
      <c r="J14" s="13">
        <f t="shared" si="9"/>
        <v>78624</v>
      </c>
      <c r="K14" s="13">
        <f t="shared" si="9"/>
        <v>56160</v>
      </c>
      <c r="L14" s="13">
        <f t="shared" si="10"/>
        <v>134784</v>
      </c>
      <c r="M14" s="13">
        <f t="shared" si="11"/>
        <v>1386153</v>
      </c>
      <c r="N14" s="18">
        <f t="shared" si="18"/>
        <v>83169</v>
      </c>
      <c r="O14" s="18">
        <f t="shared" si="12"/>
        <v>1469322</v>
      </c>
      <c r="P14" s="22">
        <f t="shared" si="1"/>
        <v>47119</v>
      </c>
      <c r="Q14" s="23">
        <f t="shared" si="13"/>
        <v>46.794342399999998</v>
      </c>
      <c r="R14" s="23">
        <f t="shared" si="14"/>
        <v>2880.3482020937645</v>
      </c>
      <c r="S14" s="23">
        <f t="shared" si="2"/>
        <v>33483.765464269462</v>
      </c>
      <c r="T14" s="24">
        <f t="shared" si="3"/>
        <v>1566851</v>
      </c>
      <c r="U14" s="242"/>
    </row>
    <row r="15" spans="1:21" s="5" customFormat="1" x14ac:dyDescent="0.4">
      <c r="A15" s="12">
        <f>+IF($H$6&lt;=A14,"",DATE(YEAR(A14)+1,MONTH(A14),1))</f>
        <v>47484</v>
      </c>
      <c r="B15" s="13">
        <f t="shared" si="5"/>
        <v>6</v>
      </c>
      <c r="C15" s="36">
        <f t="shared" si="19"/>
        <v>26800</v>
      </c>
      <c r="D15" s="14">
        <f t="shared" si="6"/>
        <v>0.86000000000000032</v>
      </c>
      <c r="E15" s="13">
        <f t="shared" si="7"/>
        <v>23048</v>
      </c>
      <c r="F15" s="13">
        <f t="shared" si="8"/>
        <v>49848</v>
      </c>
      <c r="G15" s="13">
        <f t="shared" si="15"/>
        <v>6979</v>
      </c>
      <c r="H15" s="13">
        <f t="shared" si="16"/>
        <v>4985</v>
      </c>
      <c r="I15" s="13">
        <f t="shared" si="17"/>
        <v>11964</v>
      </c>
      <c r="J15" s="13">
        <f t="shared" si="9"/>
        <v>83748</v>
      </c>
      <c r="K15" s="13">
        <f t="shared" si="9"/>
        <v>59820</v>
      </c>
      <c r="L15" s="13">
        <f t="shared" si="10"/>
        <v>143568</v>
      </c>
      <c r="M15" s="13">
        <f t="shared" si="11"/>
        <v>1529721</v>
      </c>
      <c r="N15" s="18">
        <f t="shared" si="18"/>
        <v>91783</v>
      </c>
      <c r="O15" s="18">
        <f t="shared" si="12"/>
        <v>1621504</v>
      </c>
      <c r="P15" s="22">
        <f t="shared" si="1"/>
        <v>47484</v>
      </c>
      <c r="Q15" s="23">
        <f t="shared" si="13"/>
        <v>48.666116095999996</v>
      </c>
      <c r="R15" s="23">
        <f t="shared" si="14"/>
        <v>2950.0607715806655</v>
      </c>
      <c r="S15" s="23">
        <f t="shared" si="2"/>
        <v>36433.826235850123</v>
      </c>
      <c r="T15" s="24">
        <f t="shared" si="3"/>
        <v>1773093</v>
      </c>
      <c r="U15" s="242"/>
    </row>
    <row r="16" spans="1:21" x14ac:dyDescent="0.4">
      <c r="A16" s="12">
        <f t="shared" si="4"/>
        <v>47849</v>
      </c>
      <c r="B16" s="13">
        <f t="shared" si="5"/>
        <v>7</v>
      </c>
      <c r="C16" s="36">
        <f t="shared" si="19"/>
        <v>27600</v>
      </c>
      <c r="D16" s="14">
        <f t="shared" si="6"/>
        <v>0.92000000000000037</v>
      </c>
      <c r="E16" s="13">
        <f t="shared" si="7"/>
        <v>25392</v>
      </c>
      <c r="F16" s="13">
        <f t="shared" si="8"/>
        <v>52992</v>
      </c>
      <c r="G16" s="13">
        <f t="shared" si="15"/>
        <v>7419</v>
      </c>
      <c r="H16" s="13">
        <f t="shared" si="16"/>
        <v>5299</v>
      </c>
      <c r="I16" s="13">
        <f t="shared" si="17"/>
        <v>12718</v>
      </c>
      <c r="J16" s="13">
        <f t="shared" si="9"/>
        <v>89028</v>
      </c>
      <c r="K16" s="13">
        <f t="shared" si="9"/>
        <v>63588</v>
      </c>
      <c r="L16" s="13">
        <f t="shared" si="10"/>
        <v>152616</v>
      </c>
      <c r="M16" s="13">
        <f t="shared" si="11"/>
        <v>1682337</v>
      </c>
      <c r="N16" s="18">
        <f t="shared" si="18"/>
        <v>100940</v>
      </c>
      <c r="O16" s="18">
        <f t="shared" si="12"/>
        <v>1783277</v>
      </c>
      <c r="P16" s="22">
        <f t="shared" si="1"/>
        <v>47849</v>
      </c>
      <c r="Q16" s="23">
        <f t="shared" si="13"/>
        <v>50.612760739839999</v>
      </c>
      <c r="R16" s="23">
        <f t="shared" si="14"/>
        <v>3015.3660414707988</v>
      </c>
      <c r="S16" s="23">
        <f>IF(OR(A16=0,A16=""),0,(S15+R16))</f>
        <v>39449.192277320923</v>
      </c>
      <c r="T16" s="24">
        <f t="shared" si="3"/>
        <v>1996633</v>
      </c>
      <c r="U16" s="242"/>
    </row>
    <row r="17" spans="1:21" s="5" customFormat="1" x14ac:dyDescent="0.4">
      <c r="A17" s="12">
        <f t="shared" si="4"/>
        <v>48214</v>
      </c>
      <c r="B17" s="13">
        <f t="shared" si="5"/>
        <v>8</v>
      </c>
      <c r="C17" s="36">
        <f t="shared" si="19"/>
        <v>28400</v>
      </c>
      <c r="D17" s="14">
        <f t="shared" si="6"/>
        <v>0.98000000000000043</v>
      </c>
      <c r="E17" s="13">
        <f t="shared" si="7"/>
        <v>27832</v>
      </c>
      <c r="F17" s="13">
        <f t="shared" si="8"/>
        <v>56232</v>
      </c>
      <c r="G17" s="13">
        <f t="shared" si="15"/>
        <v>7872</v>
      </c>
      <c r="H17" s="13">
        <f t="shared" si="16"/>
        <v>5623</v>
      </c>
      <c r="I17" s="13">
        <f t="shared" si="17"/>
        <v>13495</v>
      </c>
      <c r="J17" s="13">
        <f t="shared" si="9"/>
        <v>94464</v>
      </c>
      <c r="K17" s="13">
        <f t="shared" si="9"/>
        <v>67476</v>
      </c>
      <c r="L17" s="13">
        <f t="shared" si="10"/>
        <v>161940</v>
      </c>
      <c r="M17" s="13">
        <f t="shared" si="11"/>
        <v>1844277</v>
      </c>
      <c r="N17" s="18">
        <f t="shared" si="18"/>
        <v>110657</v>
      </c>
      <c r="O17" s="18">
        <f t="shared" si="12"/>
        <v>1954934</v>
      </c>
      <c r="P17" s="22">
        <f t="shared" si="1"/>
        <v>48214</v>
      </c>
      <c r="Q17" s="23">
        <f t="shared" si="13"/>
        <v>52.637271169433596</v>
      </c>
      <c r="R17" s="23">
        <f t="shared" si="14"/>
        <v>3076.5272667485538</v>
      </c>
      <c r="S17" s="23">
        <f t="shared" ref="S17:S45" si="20">IF(OR(A17=0,A17=""),0,(S16+R17))</f>
        <v>42525.719544069478</v>
      </c>
      <c r="T17" s="24">
        <f t="shared" si="3"/>
        <v>2238438</v>
      </c>
      <c r="U17" s="242"/>
    </row>
    <row r="18" spans="1:21" x14ac:dyDescent="0.4">
      <c r="A18" s="12">
        <f t="shared" si="4"/>
        <v>48580</v>
      </c>
      <c r="B18" s="13">
        <f t="shared" si="5"/>
        <v>9</v>
      </c>
      <c r="C18" s="36">
        <f t="shared" si="19"/>
        <v>29300</v>
      </c>
      <c r="D18" s="14">
        <f t="shared" si="6"/>
        <v>1.0400000000000005</v>
      </c>
      <c r="E18" s="13">
        <f t="shared" si="7"/>
        <v>30472</v>
      </c>
      <c r="F18" s="13">
        <f t="shared" si="8"/>
        <v>59772</v>
      </c>
      <c r="G18" s="13">
        <f t="shared" si="15"/>
        <v>8368</v>
      </c>
      <c r="H18" s="13">
        <f t="shared" si="16"/>
        <v>5977</v>
      </c>
      <c r="I18" s="13">
        <f t="shared" si="17"/>
        <v>14345</v>
      </c>
      <c r="J18" s="13">
        <f t="shared" si="9"/>
        <v>100416</v>
      </c>
      <c r="K18" s="13">
        <f t="shared" si="9"/>
        <v>71724</v>
      </c>
      <c r="L18" s="13">
        <f t="shared" si="10"/>
        <v>172140</v>
      </c>
      <c r="M18" s="13">
        <f t="shared" si="11"/>
        <v>2016417</v>
      </c>
      <c r="N18" s="18">
        <f t="shared" si="18"/>
        <v>120985</v>
      </c>
      <c r="O18" s="18">
        <f t="shared" si="12"/>
        <v>2137402</v>
      </c>
      <c r="P18" s="22">
        <f t="shared" si="1"/>
        <v>48580</v>
      </c>
      <c r="Q18" s="23">
        <f t="shared" si="13"/>
        <v>54.742762016210939</v>
      </c>
      <c r="R18" s="23">
        <f t="shared" si="14"/>
        <v>3144.5252972260387</v>
      </c>
      <c r="S18" s="23">
        <f t="shared" si="20"/>
        <v>45670.244841295513</v>
      </c>
      <c r="T18" s="24">
        <f t="shared" si="3"/>
        <v>2500115</v>
      </c>
      <c r="U18" s="242"/>
    </row>
    <row r="19" spans="1:21" s="5" customFormat="1" x14ac:dyDescent="0.4">
      <c r="A19" s="12">
        <f t="shared" si="4"/>
        <v>48945</v>
      </c>
      <c r="B19" s="13">
        <f t="shared" si="5"/>
        <v>10</v>
      </c>
      <c r="C19" s="36">
        <f t="shared" si="19"/>
        <v>30200</v>
      </c>
      <c r="D19" s="14">
        <f t="shared" si="6"/>
        <v>1.1000000000000005</v>
      </c>
      <c r="E19" s="13">
        <f t="shared" si="7"/>
        <v>33220</v>
      </c>
      <c r="F19" s="13">
        <f t="shared" si="8"/>
        <v>63420</v>
      </c>
      <c r="G19" s="13">
        <f t="shared" si="15"/>
        <v>8879</v>
      </c>
      <c r="H19" s="13">
        <f t="shared" si="16"/>
        <v>6342</v>
      </c>
      <c r="I19" s="13">
        <f t="shared" si="17"/>
        <v>15221</v>
      </c>
      <c r="J19" s="13">
        <f t="shared" si="9"/>
        <v>106548</v>
      </c>
      <c r="K19" s="13">
        <f t="shared" si="9"/>
        <v>76104</v>
      </c>
      <c r="L19" s="13">
        <f t="shared" si="10"/>
        <v>182652</v>
      </c>
      <c r="M19" s="13">
        <f t="shared" si="11"/>
        <v>2199069</v>
      </c>
      <c r="N19" s="18">
        <f t="shared" si="18"/>
        <v>131944</v>
      </c>
      <c r="O19" s="18">
        <f t="shared" si="12"/>
        <v>2331013</v>
      </c>
      <c r="P19" s="22">
        <f t="shared" si="1"/>
        <v>48945</v>
      </c>
      <c r="Q19" s="23">
        <f t="shared" si="13"/>
        <v>56.932472496859376</v>
      </c>
      <c r="R19" s="23">
        <f t="shared" si="14"/>
        <v>3208.2218106736154</v>
      </c>
      <c r="S19" s="23">
        <f t="shared" si="20"/>
        <v>48878.466651969131</v>
      </c>
      <c r="T19" s="24">
        <f t="shared" si="3"/>
        <v>2782772</v>
      </c>
      <c r="U19" s="242"/>
    </row>
    <row r="20" spans="1:21" x14ac:dyDescent="0.4">
      <c r="A20" s="12">
        <f t="shared" si="4"/>
        <v>49310</v>
      </c>
      <c r="B20" s="13">
        <f t="shared" si="5"/>
        <v>11</v>
      </c>
      <c r="C20" s="36">
        <f t="shared" si="19"/>
        <v>31100</v>
      </c>
      <c r="D20" s="14">
        <f t="shared" si="6"/>
        <v>1.1600000000000006</v>
      </c>
      <c r="E20" s="13">
        <f t="shared" si="7"/>
        <v>36076</v>
      </c>
      <c r="F20" s="13">
        <f t="shared" si="8"/>
        <v>67176</v>
      </c>
      <c r="G20" s="13">
        <f t="shared" si="15"/>
        <v>9405</v>
      </c>
      <c r="H20" s="13">
        <f t="shared" si="16"/>
        <v>6718</v>
      </c>
      <c r="I20" s="13">
        <f t="shared" si="17"/>
        <v>16123</v>
      </c>
      <c r="J20" s="13">
        <f t="shared" si="9"/>
        <v>112860</v>
      </c>
      <c r="K20" s="13">
        <f t="shared" si="9"/>
        <v>80616</v>
      </c>
      <c r="L20" s="13">
        <f t="shared" si="10"/>
        <v>193476</v>
      </c>
      <c r="M20" s="13">
        <f t="shared" si="11"/>
        <v>2392545</v>
      </c>
      <c r="N20" s="18">
        <f t="shared" si="18"/>
        <v>143553</v>
      </c>
      <c r="O20" s="18">
        <f t="shared" si="12"/>
        <v>2536098</v>
      </c>
      <c r="P20" s="22">
        <f t="shared" si="1"/>
        <v>49310</v>
      </c>
      <c r="Q20" s="23">
        <f t="shared" si="13"/>
        <v>59.20977139673375</v>
      </c>
      <c r="R20" s="23">
        <f t="shared" si="14"/>
        <v>3267.6363281935069</v>
      </c>
      <c r="S20" s="23">
        <f t="shared" si="20"/>
        <v>52146.102980162636</v>
      </c>
      <c r="T20" s="24">
        <f t="shared" si="3"/>
        <v>3087559</v>
      </c>
      <c r="U20" s="242"/>
    </row>
    <row r="21" spans="1:21" s="5" customFormat="1" x14ac:dyDescent="0.4">
      <c r="A21" s="12">
        <f t="shared" si="4"/>
        <v>49675</v>
      </c>
      <c r="B21" s="13">
        <f t="shared" si="5"/>
        <v>12</v>
      </c>
      <c r="C21" s="36">
        <f t="shared" si="19"/>
        <v>32000</v>
      </c>
      <c r="D21" s="14">
        <f t="shared" si="6"/>
        <v>1.2200000000000006</v>
      </c>
      <c r="E21" s="13">
        <f t="shared" si="7"/>
        <v>39040</v>
      </c>
      <c r="F21" s="13">
        <f t="shared" si="8"/>
        <v>71040</v>
      </c>
      <c r="G21" s="13">
        <f t="shared" si="15"/>
        <v>9946</v>
      </c>
      <c r="H21" s="13">
        <f t="shared" si="16"/>
        <v>7104</v>
      </c>
      <c r="I21" s="13">
        <f t="shared" si="17"/>
        <v>17050</v>
      </c>
      <c r="J21" s="13">
        <f t="shared" si="9"/>
        <v>119352</v>
      </c>
      <c r="K21" s="13">
        <f t="shared" si="9"/>
        <v>85248</v>
      </c>
      <c r="L21" s="13">
        <f t="shared" si="10"/>
        <v>204600</v>
      </c>
      <c r="M21" s="13">
        <f t="shared" si="11"/>
        <v>2597145</v>
      </c>
      <c r="N21" s="18">
        <f t="shared" si="18"/>
        <v>155829</v>
      </c>
      <c r="O21" s="18">
        <f t="shared" si="12"/>
        <v>2752974</v>
      </c>
      <c r="P21" s="22">
        <f t="shared" si="1"/>
        <v>49675</v>
      </c>
      <c r="Q21" s="23">
        <f t="shared" si="13"/>
        <v>61.5781622526031</v>
      </c>
      <c r="R21" s="23">
        <f t="shared" si="14"/>
        <v>3322.6064649461168</v>
      </c>
      <c r="S21" s="23">
        <f t="shared" si="20"/>
        <v>55468.709445108754</v>
      </c>
      <c r="T21" s="24">
        <f t="shared" si="3"/>
        <v>3415661</v>
      </c>
      <c r="U21" s="242"/>
    </row>
    <row r="22" spans="1:21" x14ac:dyDescent="0.4">
      <c r="A22" s="12">
        <f t="shared" si="4"/>
        <v>50041</v>
      </c>
      <c r="B22" s="13">
        <f t="shared" si="5"/>
        <v>13</v>
      </c>
      <c r="C22" s="36">
        <f t="shared" si="19"/>
        <v>33000</v>
      </c>
      <c r="D22" s="14">
        <f t="shared" si="6"/>
        <v>1.2800000000000007</v>
      </c>
      <c r="E22" s="13">
        <f t="shared" si="7"/>
        <v>42240</v>
      </c>
      <c r="F22" s="13">
        <f t="shared" si="8"/>
        <v>75240</v>
      </c>
      <c r="G22" s="13">
        <f t="shared" si="15"/>
        <v>10534</v>
      </c>
      <c r="H22" s="13">
        <f t="shared" si="16"/>
        <v>7524</v>
      </c>
      <c r="I22" s="13">
        <f t="shared" si="17"/>
        <v>18058</v>
      </c>
      <c r="J22" s="13">
        <f t="shared" si="9"/>
        <v>126408</v>
      </c>
      <c r="K22" s="13">
        <f t="shared" si="9"/>
        <v>90288</v>
      </c>
      <c r="L22" s="13">
        <f t="shared" si="10"/>
        <v>216696</v>
      </c>
      <c r="M22" s="13">
        <f t="shared" si="11"/>
        <v>2813841</v>
      </c>
      <c r="N22" s="18">
        <f t="shared" si="18"/>
        <v>168830</v>
      </c>
      <c r="O22" s="18">
        <f t="shared" si="12"/>
        <v>2982671</v>
      </c>
      <c r="P22" s="22">
        <f t="shared" si="1"/>
        <v>50041</v>
      </c>
      <c r="Q22" s="23">
        <f t="shared" si="13"/>
        <v>64.041288742707223</v>
      </c>
      <c r="R22" s="23">
        <f t="shared" si="14"/>
        <v>3383.6920563950475</v>
      </c>
      <c r="S22" s="23">
        <f t="shared" si="20"/>
        <v>58852.401501503802</v>
      </c>
      <c r="T22" s="24">
        <f t="shared" si="3"/>
        <v>3768984</v>
      </c>
      <c r="U22" s="242"/>
    </row>
    <row r="23" spans="1:21" s="5" customFormat="1" x14ac:dyDescent="0.4">
      <c r="A23" s="12">
        <f t="shared" si="4"/>
        <v>50406</v>
      </c>
      <c r="B23" s="13">
        <f t="shared" si="5"/>
        <v>14</v>
      </c>
      <c r="C23" s="36">
        <f t="shared" si="19"/>
        <v>34000</v>
      </c>
      <c r="D23" s="14">
        <f t="shared" si="6"/>
        <v>1.3400000000000007</v>
      </c>
      <c r="E23" s="13">
        <f t="shared" si="7"/>
        <v>45560</v>
      </c>
      <c r="F23" s="13">
        <f t="shared" si="8"/>
        <v>79560</v>
      </c>
      <c r="G23" s="13">
        <f t="shared" si="15"/>
        <v>11138</v>
      </c>
      <c r="H23" s="13">
        <f t="shared" si="16"/>
        <v>7956</v>
      </c>
      <c r="I23" s="13">
        <f t="shared" si="17"/>
        <v>19094</v>
      </c>
      <c r="J23" s="13">
        <f t="shared" si="9"/>
        <v>133656</v>
      </c>
      <c r="K23" s="13">
        <f t="shared" si="9"/>
        <v>95472</v>
      </c>
      <c r="L23" s="13">
        <f t="shared" si="10"/>
        <v>229128</v>
      </c>
      <c r="M23" s="13">
        <f t="shared" si="11"/>
        <v>3042969</v>
      </c>
      <c r="N23" s="18">
        <f t="shared" si="18"/>
        <v>182578</v>
      </c>
      <c r="O23" s="18">
        <f t="shared" si="12"/>
        <v>3225547</v>
      </c>
      <c r="P23" s="22">
        <f t="shared" si="1"/>
        <v>50406</v>
      </c>
      <c r="Q23" s="23">
        <f t="shared" si="13"/>
        <v>66.602940292415511</v>
      </c>
      <c r="R23" s="23">
        <f t="shared" si="14"/>
        <v>3440.2084801966653</v>
      </c>
      <c r="S23" s="23">
        <f t="shared" si="20"/>
        <v>62292.609981700465</v>
      </c>
      <c r="T23" s="24">
        <f t="shared" si="3"/>
        <v>4148871</v>
      </c>
      <c r="U23" s="242"/>
    </row>
    <row r="24" spans="1:21" x14ac:dyDescent="0.4">
      <c r="A24" s="12">
        <f t="shared" si="4"/>
        <v>50771</v>
      </c>
      <c r="B24" s="13">
        <f t="shared" si="5"/>
        <v>15</v>
      </c>
      <c r="C24" s="36">
        <f t="shared" si="19"/>
        <v>35000</v>
      </c>
      <c r="D24" s="14">
        <f t="shared" si="6"/>
        <v>1.4000000000000008</v>
      </c>
      <c r="E24" s="13">
        <f t="shared" si="7"/>
        <v>49000</v>
      </c>
      <c r="F24" s="13">
        <f t="shared" si="8"/>
        <v>84000</v>
      </c>
      <c r="G24" s="13">
        <f t="shared" si="15"/>
        <v>11760</v>
      </c>
      <c r="H24" s="13">
        <f t="shared" si="16"/>
        <v>8400</v>
      </c>
      <c r="I24" s="13">
        <f t="shared" si="17"/>
        <v>20160</v>
      </c>
      <c r="J24" s="13">
        <f t="shared" si="9"/>
        <v>141120</v>
      </c>
      <c r="K24" s="13">
        <f t="shared" si="9"/>
        <v>100800</v>
      </c>
      <c r="L24" s="13">
        <f t="shared" si="10"/>
        <v>241920</v>
      </c>
      <c r="M24" s="13">
        <f t="shared" si="11"/>
        <v>3284889</v>
      </c>
      <c r="N24" s="18">
        <f t="shared" si="18"/>
        <v>197093</v>
      </c>
      <c r="O24" s="18">
        <f t="shared" si="12"/>
        <v>3481982</v>
      </c>
      <c r="P24" s="22">
        <f t="shared" si="1"/>
        <v>50771</v>
      </c>
      <c r="Q24" s="23">
        <f t="shared" si="13"/>
        <v>69.267057904112136</v>
      </c>
      <c r="R24" s="23">
        <f t="shared" si="14"/>
        <v>3492.5693009062838</v>
      </c>
      <c r="S24" s="23">
        <f t="shared" si="20"/>
        <v>65785.179282606754</v>
      </c>
      <c r="T24" s="24">
        <f t="shared" si="3"/>
        <v>4556746</v>
      </c>
      <c r="U24" s="242"/>
    </row>
    <row r="25" spans="1:21" s="5" customFormat="1" x14ac:dyDescent="0.4">
      <c r="A25" s="12">
        <f t="shared" si="4"/>
        <v>51136</v>
      </c>
      <c r="B25" s="13">
        <f t="shared" si="5"/>
        <v>16</v>
      </c>
      <c r="C25" s="36">
        <f>+IF($H$6&lt;A24,"",IF(CEILING(C24*3%,100)-ROUND(C24*3%,0)&lt;=50,CEILING(C24*3%,100),CEILING(C24*3%,100)-100)+C24)</f>
        <v>36100</v>
      </c>
      <c r="D25" s="14">
        <f t="shared" si="6"/>
        <v>1.4600000000000009</v>
      </c>
      <c r="E25" s="13">
        <f t="shared" si="7"/>
        <v>52706</v>
      </c>
      <c r="F25" s="13">
        <f t="shared" si="8"/>
        <v>88806</v>
      </c>
      <c r="G25" s="13">
        <f t="shared" si="15"/>
        <v>12433</v>
      </c>
      <c r="H25" s="13">
        <f t="shared" si="16"/>
        <v>8881</v>
      </c>
      <c r="I25" s="13">
        <f t="shared" si="17"/>
        <v>21314</v>
      </c>
      <c r="J25" s="13">
        <f t="shared" si="9"/>
        <v>149196</v>
      </c>
      <c r="K25" s="13">
        <f t="shared" si="9"/>
        <v>106572</v>
      </c>
      <c r="L25" s="13">
        <f t="shared" si="10"/>
        <v>255768</v>
      </c>
      <c r="M25" s="13">
        <f t="shared" si="11"/>
        <v>3540657</v>
      </c>
      <c r="N25" s="18">
        <f t="shared" si="18"/>
        <v>212439</v>
      </c>
      <c r="O25" s="18">
        <f t="shared" si="12"/>
        <v>3753096</v>
      </c>
      <c r="P25" s="22">
        <f t="shared" si="1"/>
        <v>51136</v>
      </c>
      <c r="Q25" s="23">
        <f t="shared" si="13"/>
        <v>72.037740220276618</v>
      </c>
      <c r="R25" s="23">
        <f t="shared" si="14"/>
        <v>3550.4722832492243</v>
      </c>
      <c r="S25" s="23">
        <f t="shared" si="20"/>
        <v>69335.65156585598</v>
      </c>
      <c r="T25" s="24">
        <f t="shared" si="3"/>
        <v>4994784</v>
      </c>
      <c r="U25" s="242"/>
    </row>
    <row r="26" spans="1:21" x14ac:dyDescent="0.4">
      <c r="A26" s="12">
        <f t="shared" si="4"/>
        <v>51502</v>
      </c>
      <c r="B26" s="13">
        <f t="shared" si="5"/>
        <v>17</v>
      </c>
      <c r="C26" s="36">
        <f t="shared" ref="C26:C45" si="21">+IF($H$6&lt;A25,"",IF(CEILING(C25*3%,100)-ROUND(C25*3%,0)&lt;=50,CEILING(C25*3%,100),CEILING(C25*3%,100)-100)+C25)</f>
        <v>37200</v>
      </c>
      <c r="D26" s="14">
        <f t="shared" si="6"/>
        <v>1.5200000000000009</v>
      </c>
      <c r="E26" s="13">
        <f t="shared" si="7"/>
        <v>56544</v>
      </c>
      <c r="F26" s="13">
        <f t="shared" si="8"/>
        <v>93744</v>
      </c>
      <c r="G26" s="13">
        <f t="shared" si="15"/>
        <v>13124</v>
      </c>
      <c r="H26" s="13">
        <f t="shared" si="16"/>
        <v>9374</v>
      </c>
      <c r="I26" s="13">
        <f t="shared" si="17"/>
        <v>22498</v>
      </c>
      <c r="J26" s="13">
        <f t="shared" si="9"/>
        <v>157488</v>
      </c>
      <c r="K26" s="13">
        <f t="shared" si="9"/>
        <v>112488</v>
      </c>
      <c r="L26" s="13">
        <f t="shared" si="10"/>
        <v>269976</v>
      </c>
      <c r="M26" s="13">
        <f t="shared" si="11"/>
        <v>3810633</v>
      </c>
      <c r="N26" s="18">
        <f t="shared" si="18"/>
        <v>228638</v>
      </c>
      <c r="O26" s="18">
        <f t="shared" si="12"/>
        <v>4039271</v>
      </c>
      <c r="P26" s="22">
        <f t="shared" si="1"/>
        <v>51502</v>
      </c>
      <c r="Q26" s="23">
        <f t="shared" si="13"/>
        <v>74.919249829087676</v>
      </c>
      <c r="R26" s="23">
        <f t="shared" si="14"/>
        <v>3603.5598409740192</v>
      </c>
      <c r="S26" s="23">
        <f t="shared" si="20"/>
        <v>72939.21140683</v>
      </c>
      <c r="T26" s="24">
        <f t="shared" si="3"/>
        <v>5464551</v>
      </c>
      <c r="U26" s="242"/>
    </row>
    <row r="27" spans="1:21" s="5" customFormat="1" x14ac:dyDescent="0.4">
      <c r="A27" s="12">
        <f t="shared" si="4"/>
        <v>51867</v>
      </c>
      <c r="B27" s="13">
        <f t="shared" si="5"/>
        <v>18</v>
      </c>
      <c r="C27" s="36">
        <f t="shared" si="21"/>
        <v>38300</v>
      </c>
      <c r="D27" s="14">
        <f t="shared" si="6"/>
        <v>1.580000000000001</v>
      </c>
      <c r="E27" s="13">
        <f t="shared" si="7"/>
        <v>60514</v>
      </c>
      <c r="F27" s="13">
        <f t="shared" si="8"/>
        <v>98814</v>
      </c>
      <c r="G27" s="13">
        <f t="shared" si="15"/>
        <v>13834</v>
      </c>
      <c r="H27" s="13">
        <f t="shared" si="16"/>
        <v>9881</v>
      </c>
      <c r="I27" s="13">
        <f t="shared" si="17"/>
        <v>23715</v>
      </c>
      <c r="J27" s="13">
        <f t="shared" si="9"/>
        <v>166008</v>
      </c>
      <c r="K27" s="13">
        <f t="shared" si="9"/>
        <v>118572</v>
      </c>
      <c r="L27" s="13">
        <f t="shared" si="10"/>
        <v>284580</v>
      </c>
      <c r="M27" s="13">
        <f t="shared" si="11"/>
        <v>4095213</v>
      </c>
      <c r="N27" s="18">
        <f t="shared" si="18"/>
        <v>245713</v>
      </c>
      <c r="O27" s="18">
        <f t="shared" si="12"/>
        <v>4340926</v>
      </c>
      <c r="P27" s="22">
        <f t="shared" si="1"/>
        <v>51867</v>
      </c>
      <c r="Q27" s="23">
        <f t="shared" si="13"/>
        <v>77.916019822251187</v>
      </c>
      <c r="R27" s="23">
        <f t="shared" si="14"/>
        <v>3652.393957612423</v>
      </c>
      <c r="S27" s="23">
        <f t="shared" si="20"/>
        <v>76591.605364442425</v>
      </c>
      <c r="T27" s="24">
        <f t="shared" si="3"/>
        <v>5967713</v>
      </c>
      <c r="U27" s="242"/>
    </row>
    <row r="28" spans="1:21" x14ac:dyDescent="0.4">
      <c r="A28" s="12">
        <f t="shared" si="4"/>
        <v>52232</v>
      </c>
      <c r="B28" s="13">
        <f t="shared" si="5"/>
        <v>19</v>
      </c>
      <c r="C28" s="36">
        <f t="shared" si="21"/>
        <v>39400</v>
      </c>
      <c r="D28" s="14">
        <f t="shared" si="6"/>
        <v>1.640000000000001</v>
      </c>
      <c r="E28" s="13">
        <f t="shared" si="7"/>
        <v>64616</v>
      </c>
      <c r="F28" s="13">
        <f t="shared" si="8"/>
        <v>104016</v>
      </c>
      <c r="G28" s="13">
        <f t="shared" si="15"/>
        <v>14562</v>
      </c>
      <c r="H28" s="13">
        <f t="shared" si="16"/>
        <v>10402</v>
      </c>
      <c r="I28" s="13">
        <f t="shared" si="17"/>
        <v>24964</v>
      </c>
      <c r="J28" s="13">
        <f t="shared" ref="J28:K45" si="22">+G28*12</f>
        <v>174744</v>
      </c>
      <c r="K28" s="13">
        <f t="shared" si="22"/>
        <v>124824</v>
      </c>
      <c r="L28" s="13">
        <f t="shared" si="10"/>
        <v>299568</v>
      </c>
      <c r="M28" s="13">
        <f t="shared" si="11"/>
        <v>4394781</v>
      </c>
      <c r="N28" s="18">
        <f t="shared" si="18"/>
        <v>263687</v>
      </c>
      <c r="O28" s="18">
        <f t="shared" si="12"/>
        <v>4658468</v>
      </c>
      <c r="P28" s="22">
        <f t="shared" si="1"/>
        <v>52232</v>
      </c>
      <c r="Q28" s="23">
        <f t="shared" si="13"/>
        <v>81.032660615141239</v>
      </c>
      <c r="R28" s="23">
        <f t="shared" si="14"/>
        <v>3696.8797238779625</v>
      </c>
      <c r="S28" s="23">
        <f t="shared" si="20"/>
        <v>80288.485088320391</v>
      </c>
      <c r="T28" s="24">
        <f t="shared" si="3"/>
        <v>6505990</v>
      </c>
      <c r="U28" s="242"/>
    </row>
    <row r="29" spans="1:21" s="5" customFormat="1" x14ac:dyDescent="0.4">
      <c r="A29" s="12">
        <f t="shared" si="4"/>
        <v>52597</v>
      </c>
      <c r="B29" s="13">
        <f t="shared" si="5"/>
        <v>20</v>
      </c>
      <c r="C29" s="36">
        <f t="shared" si="21"/>
        <v>40600</v>
      </c>
      <c r="D29" s="14">
        <f t="shared" si="6"/>
        <v>1.7000000000000011</v>
      </c>
      <c r="E29" s="13">
        <f t="shared" si="7"/>
        <v>69020</v>
      </c>
      <c r="F29" s="13">
        <f t="shared" si="8"/>
        <v>109620</v>
      </c>
      <c r="G29" s="13">
        <f t="shared" si="15"/>
        <v>15347</v>
      </c>
      <c r="H29" s="13">
        <f t="shared" si="16"/>
        <v>10962</v>
      </c>
      <c r="I29" s="13">
        <f t="shared" si="17"/>
        <v>26309</v>
      </c>
      <c r="J29" s="13">
        <f t="shared" si="22"/>
        <v>184164</v>
      </c>
      <c r="K29" s="13">
        <f t="shared" si="22"/>
        <v>131544</v>
      </c>
      <c r="L29" s="13">
        <f t="shared" si="10"/>
        <v>315708</v>
      </c>
      <c r="M29" s="13">
        <f t="shared" si="11"/>
        <v>4710489</v>
      </c>
      <c r="N29" s="18">
        <f t="shared" si="18"/>
        <v>282629</v>
      </c>
      <c r="O29" s="18">
        <f t="shared" si="12"/>
        <v>4993118</v>
      </c>
      <c r="P29" s="22">
        <f t="shared" si="1"/>
        <v>52597</v>
      </c>
      <c r="Q29" s="23">
        <f t="shared" si="13"/>
        <v>84.273967039746893</v>
      </c>
      <c r="R29" s="23">
        <f t="shared" si="14"/>
        <v>3746.2102602942587</v>
      </c>
      <c r="S29" s="23">
        <f t="shared" si="20"/>
        <v>84034.695348614652</v>
      </c>
      <c r="T29" s="24">
        <f t="shared" si="3"/>
        <v>7081937</v>
      </c>
      <c r="U29" s="242"/>
    </row>
    <row r="30" spans="1:21" x14ac:dyDescent="0.4">
      <c r="A30" s="12">
        <f t="shared" si="4"/>
        <v>52963</v>
      </c>
      <c r="B30" s="13">
        <f t="shared" si="5"/>
        <v>21</v>
      </c>
      <c r="C30" s="36">
        <f t="shared" si="21"/>
        <v>41800</v>
      </c>
      <c r="D30" s="14">
        <f t="shared" si="6"/>
        <v>1.7600000000000011</v>
      </c>
      <c r="E30" s="13">
        <f t="shared" si="7"/>
        <v>73568</v>
      </c>
      <c r="F30" s="13">
        <f t="shared" si="8"/>
        <v>115368</v>
      </c>
      <c r="G30" s="13">
        <f t="shared" si="15"/>
        <v>16152</v>
      </c>
      <c r="H30" s="13">
        <f t="shared" si="16"/>
        <v>11537</v>
      </c>
      <c r="I30" s="13">
        <f t="shared" si="17"/>
        <v>27689</v>
      </c>
      <c r="J30" s="13">
        <f t="shared" si="22"/>
        <v>193824</v>
      </c>
      <c r="K30" s="13">
        <f t="shared" si="22"/>
        <v>138444</v>
      </c>
      <c r="L30" s="13">
        <f t="shared" si="10"/>
        <v>332268</v>
      </c>
      <c r="M30" s="13">
        <f t="shared" si="11"/>
        <v>5042757</v>
      </c>
      <c r="N30" s="18">
        <f t="shared" si="18"/>
        <v>302565</v>
      </c>
      <c r="O30" s="18">
        <f t="shared" si="12"/>
        <v>5345322</v>
      </c>
      <c r="P30" s="22">
        <f t="shared" si="1"/>
        <v>52963</v>
      </c>
      <c r="Q30" s="23">
        <f t="shared" si="13"/>
        <v>87.644925721336762</v>
      </c>
      <c r="R30" s="23">
        <f t="shared" si="14"/>
        <v>3791.0694460102768</v>
      </c>
      <c r="S30" s="23">
        <f t="shared" si="20"/>
        <v>87825.764794624934</v>
      </c>
      <c r="T30" s="24">
        <f t="shared" si="3"/>
        <v>7697483</v>
      </c>
      <c r="U30" s="242"/>
    </row>
    <row r="31" spans="1:21" s="5" customFormat="1" x14ac:dyDescent="0.4">
      <c r="A31" s="12">
        <f t="shared" si="4"/>
        <v>53328</v>
      </c>
      <c r="B31" s="13">
        <f t="shared" si="5"/>
        <v>22</v>
      </c>
      <c r="C31" s="36">
        <f t="shared" si="21"/>
        <v>43100</v>
      </c>
      <c r="D31" s="14">
        <f t="shared" si="6"/>
        <v>1.8200000000000012</v>
      </c>
      <c r="E31" s="13">
        <f t="shared" si="7"/>
        <v>78442</v>
      </c>
      <c r="F31" s="13">
        <f t="shared" si="8"/>
        <v>121542</v>
      </c>
      <c r="G31" s="13">
        <f t="shared" si="15"/>
        <v>17016</v>
      </c>
      <c r="H31" s="13">
        <f t="shared" si="16"/>
        <v>12154</v>
      </c>
      <c r="I31" s="13">
        <f t="shared" si="17"/>
        <v>29170</v>
      </c>
      <c r="J31" s="13">
        <f t="shared" si="22"/>
        <v>204192</v>
      </c>
      <c r="K31" s="13">
        <f t="shared" si="22"/>
        <v>145848</v>
      </c>
      <c r="L31" s="13">
        <f t="shared" si="10"/>
        <v>350040</v>
      </c>
      <c r="M31" s="13">
        <f t="shared" si="11"/>
        <v>5392797</v>
      </c>
      <c r="N31" s="18">
        <f t="shared" si="18"/>
        <v>323568</v>
      </c>
      <c r="O31" s="18">
        <f t="shared" si="12"/>
        <v>5716365</v>
      </c>
      <c r="P31" s="22">
        <f t="shared" si="1"/>
        <v>53328</v>
      </c>
      <c r="Q31" s="23">
        <f t="shared" si="13"/>
        <v>91.150722750190226</v>
      </c>
      <c r="R31" s="23">
        <f t="shared" si="14"/>
        <v>3840.2328521226068</v>
      </c>
      <c r="S31" s="23">
        <f t="shared" si="20"/>
        <v>91665.997646747535</v>
      </c>
      <c r="T31" s="24">
        <f t="shared" si="3"/>
        <v>8355422</v>
      </c>
      <c r="U31" s="242"/>
    </row>
    <row r="32" spans="1:21" x14ac:dyDescent="0.4">
      <c r="A32" s="12">
        <f t="shared" si="4"/>
        <v>53693</v>
      </c>
      <c r="B32" s="13">
        <f t="shared" si="5"/>
        <v>23</v>
      </c>
      <c r="C32" s="36">
        <f t="shared" si="21"/>
        <v>44400</v>
      </c>
      <c r="D32" s="14">
        <f t="shared" si="6"/>
        <v>1.8800000000000012</v>
      </c>
      <c r="E32" s="13">
        <f t="shared" si="7"/>
        <v>83472</v>
      </c>
      <c r="F32" s="13">
        <f t="shared" si="8"/>
        <v>127872</v>
      </c>
      <c r="G32" s="13">
        <f t="shared" si="15"/>
        <v>17902</v>
      </c>
      <c r="H32" s="13">
        <f t="shared" si="16"/>
        <v>12787</v>
      </c>
      <c r="I32" s="13">
        <f t="shared" si="17"/>
        <v>30689</v>
      </c>
      <c r="J32" s="13">
        <f t="shared" si="22"/>
        <v>214824</v>
      </c>
      <c r="K32" s="13">
        <f t="shared" si="22"/>
        <v>153444</v>
      </c>
      <c r="L32" s="13">
        <f t="shared" si="10"/>
        <v>368268</v>
      </c>
      <c r="M32" s="13">
        <f t="shared" si="11"/>
        <v>5761065</v>
      </c>
      <c r="N32" s="18">
        <f t="shared" si="18"/>
        <v>345664</v>
      </c>
      <c r="O32" s="18">
        <f t="shared" si="12"/>
        <v>6106729</v>
      </c>
      <c r="P32" s="22">
        <f t="shared" si="1"/>
        <v>53693</v>
      </c>
      <c r="Q32" s="23">
        <f t="shared" si="13"/>
        <v>94.796751660197842</v>
      </c>
      <c r="R32" s="23">
        <f t="shared" si="14"/>
        <v>3884.8166582761091</v>
      </c>
      <c r="S32" s="23">
        <f t="shared" si="20"/>
        <v>95550.814305023639</v>
      </c>
      <c r="T32" s="24">
        <f t="shared" si="3"/>
        <v>9057907</v>
      </c>
      <c r="U32" s="242"/>
    </row>
    <row r="33" spans="1:22" x14ac:dyDescent="0.4">
      <c r="A33" s="12">
        <f t="shared" si="4"/>
        <v>54058</v>
      </c>
      <c r="B33" s="13">
        <f t="shared" si="5"/>
        <v>24</v>
      </c>
      <c r="C33" s="36">
        <f t="shared" si="21"/>
        <v>45700</v>
      </c>
      <c r="D33" s="14">
        <f t="shared" si="6"/>
        <v>1.9400000000000013</v>
      </c>
      <c r="E33" s="13">
        <f t="shared" si="7"/>
        <v>88658</v>
      </c>
      <c r="F33" s="13">
        <f t="shared" si="8"/>
        <v>134358</v>
      </c>
      <c r="G33" s="13">
        <f t="shared" si="15"/>
        <v>18810</v>
      </c>
      <c r="H33" s="13">
        <f t="shared" si="16"/>
        <v>13436</v>
      </c>
      <c r="I33" s="13">
        <f t="shared" si="17"/>
        <v>32246</v>
      </c>
      <c r="J33" s="13">
        <f t="shared" si="22"/>
        <v>225720</v>
      </c>
      <c r="K33" s="13">
        <f t="shared" si="22"/>
        <v>161232</v>
      </c>
      <c r="L33" s="13">
        <f t="shared" si="10"/>
        <v>386952</v>
      </c>
      <c r="M33" s="13">
        <f t="shared" si="11"/>
        <v>6148017</v>
      </c>
      <c r="N33" s="18">
        <f t="shared" si="18"/>
        <v>368881</v>
      </c>
      <c r="O33" s="18">
        <f t="shared" si="12"/>
        <v>6516898</v>
      </c>
      <c r="P33" s="22">
        <f t="shared" si="1"/>
        <v>54058</v>
      </c>
      <c r="Q33" s="23">
        <f t="shared" si="13"/>
        <v>98.588621726605751</v>
      </c>
      <c r="R33" s="23">
        <f t="shared" si="14"/>
        <v>3924.915403250583</v>
      </c>
      <c r="S33" s="23">
        <f t="shared" si="20"/>
        <v>99475.729708274215</v>
      </c>
      <c r="T33" s="24">
        <f t="shared" si="3"/>
        <v>9807175</v>
      </c>
      <c r="U33" s="242"/>
    </row>
    <row r="34" spans="1:22" x14ac:dyDescent="0.4">
      <c r="A34" s="12" t="str">
        <f t="shared" si="4"/>
        <v/>
      </c>
      <c r="B34" s="13">
        <f t="shared" si="5"/>
        <v>0</v>
      </c>
      <c r="C34" s="36" t="str">
        <f t="shared" si="21"/>
        <v/>
      </c>
      <c r="D34" s="14">
        <f t="shared" si="6"/>
        <v>0</v>
      </c>
      <c r="E34" s="13">
        <f t="shared" si="7"/>
        <v>0</v>
      </c>
      <c r="F34" s="13">
        <f t="shared" si="8"/>
        <v>0</v>
      </c>
      <c r="G34" s="13">
        <f t="shared" si="15"/>
        <v>0</v>
      </c>
      <c r="H34" s="13">
        <f t="shared" si="16"/>
        <v>0</v>
      </c>
      <c r="I34" s="13">
        <f t="shared" si="17"/>
        <v>0</v>
      </c>
      <c r="J34" s="13">
        <f t="shared" si="22"/>
        <v>0</v>
      </c>
      <c r="K34" s="13">
        <f t="shared" si="22"/>
        <v>0</v>
      </c>
      <c r="L34" s="13">
        <f>+J34+K34</f>
        <v>0</v>
      </c>
      <c r="M34" s="13">
        <f t="shared" si="11"/>
        <v>0</v>
      </c>
      <c r="N34" s="18">
        <f t="shared" si="18"/>
        <v>0</v>
      </c>
      <c r="O34" s="18">
        <f t="shared" si="12"/>
        <v>0</v>
      </c>
      <c r="P34" s="22" t="str">
        <f t="shared" si="1"/>
        <v/>
      </c>
      <c r="Q34" s="23">
        <f t="shared" si="13"/>
        <v>0</v>
      </c>
      <c r="R34" s="23">
        <f>IF(OR(A34=0,A34=""),0,(L34/Q34))</f>
        <v>0</v>
      </c>
      <c r="S34" s="23">
        <f>IF(OR(A34=0,A34=""),0,(S33+R34))</f>
        <v>0</v>
      </c>
      <c r="T34" s="24">
        <f t="shared" si="3"/>
        <v>0</v>
      </c>
      <c r="U34" s="242"/>
    </row>
    <row r="35" spans="1:22" x14ac:dyDescent="0.4">
      <c r="A35" s="12" t="str">
        <f t="shared" si="4"/>
        <v/>
      </c>
      <c r="B35" s="13">
        <f t="shared" si="5"/>
        <v>0</v>
      </c>
      <c r="C35" s="36" t="str">
        <f t="shared" si="21"/>
        <v/>
      </c>
      <c r="D35" s="14">
        <f t="shared" si="6"/>
        <v>0</v>
      </c>
      <c r="E35" s="13">
        <f t="shared" si="7"/>
        <v>0</v>
      </c>
      <c r="F35" s="13">
        <f t="shared" si="8"/>
        <v>0</v>
      </c>
      <c r="G35" s="13">
        <f t="shared" si="15"/>
        <v>0</v>
      </c>
      <c r="H35" s="13">
        <f t="shared" si="16"/>
        <v>0</v>
      </c>
      <c r="I35" s="13">
        <f t="shared" si="17"/>
        <v>0</v>
      </c>
      <c r="J35" s="13">
        <f t="shared" si="22"/>
        <v>0</v>
      </c>
      <c r="K35" s="13">
        <f t="shared" si="22"/>
        <v>0</v>
      </c>
      <c r="L35" s="13">
        <f t="shared" si="10"/>
        <v>0</v>
      </c>
      <c r="M35" s="13">
        <f t="shared" si="11"/>
        <v>0</v>
      </c>
      <c r="N35" s="18">
        <f t="shared" si="18"/>
        <v>0</v>
      </c>
      <c r="O35" s="18">
        <f t="shared" si="12"/>
        <v>0</v>
      </c>
      <c r="P35" s="22" t="str">
        <f t="shared" si="1"/>
        <v/>
      </c>
      <c r="Q35" s="23">
        <f t="shared" si="13"/>
        <v>0</v>
      </c>
      <c r="R35" s="23">
        <f t="shared" si="14"/>
        <v>0</v>
      </c>
      <c r="S35" s="23">
        <f t="shared" si="20"/>
        <v>0</v>
      </c>
      <c r="T35" s="24">
        <f t="shared" si="3"/>
        <v>0</v>
      </c>
      <c r="U35" s="242"/>
    </row>
    <row r="36" spans="1:22" x14ac:dyDescent="0.4">
      <c r="A36" s="12" t="str">
        <f t="shared" si="4"/>
        <v/>
      </c>
      <c r="B36" s="13">
        <f t="shared" si="5"/>
        <v>0</v>
      </c>
      <c r="C36" s="36" t="str">
        <f t="shared" si="21"/>
        <v/>
      </c>
      <c r="D36" s="14">
        <f t="shared" si="6"/>
        <v>0</v>
      </c>
      <c r="E36" s="13">
        <f t="shared" si="7"/>
        <v>0</v>
      </c>
      <c r="F36" s="13">
        <f t="shared" si="8"/>
        <v>0</v>
      </c>
      <c r="G36" s="13">
        <f t="shared" si="15"/>
        <v>0</v>
      </c>
      <c r="H36" s="13">
        <f t="shared" si="16"/>
        <v>0</v>
      </c>
      <c r="I36" s="13">
        <f t="shared" si="17"/>
        <v>0</v>
      </c>
      <c r="J36" s="13">
        <f t="shared" si="22"/>
        <v>0</v>
      </c>
      <c r="K36" s="13">
        <f t="shared" si="22"/>
        <v>0</v>
      </c>
      <c r="L36" s="13">
        <f t="shared" si="10"/>
        <v>0</v>
      </c>
      <c r="M36" s="13">
        <f t="shared" si="11"/>
        <v>0</v>
      </c>
      <c r="N36" s="18">
        <f t="shared" si="18"/>
        <v>0</v>
      </c>
      <c r="O36" s="18">
        <f t="shared" si="12"/>
        <v>0</v>
      </c>
      <c r="P36" s="22" t="str">
        <f t="shared" si="1"/>
        <v/>
      </c>
      <c r="Q36" s="23">
        <f t="shared" si="13"/>
        <v>0</v>
      </c>
      <c r="R36" s="23">
        <f t="shared" si="14"/>
        <v>0</v>
      </c>
      <c r="S36" s="23">
        <f t="shared" si="20"/>
        <v>0</v>
      </c>
      <c r="T36" s="24">
        <f t="shared" si="3"/>
        <v>0</v>
      </c>
      <c r="U36" s="242"/>
    </row>
    <row r="37" spans="1:22" x14ac:dyDescent="0.4">
      <c r="A37" s="12" t="str">
        <f t="shared" si="4"/>
        <v/>
      </c>
      <c r="B37" s="13">
        <f t="shared" si="5"/>
        <v>0</v>
      </c>
      <c r="C37" s="36" t="str">
        <f t="shared" si="21"/>
        <v/>
      </c>
      <c r="D37" s="14">
        <f t="shared" si="6"/>
        <v>0</v>
      </c>
      <c r="E37" s="13">
        <f t="shared" si="7"/>
        <v>0</v>
      </c>
      <c r="F37" s="13">
        <f t="shared" si="8"/>
        <v>0</v>
      </c>
      <c r="G37" s="13">
        <f t="shared" si="15"/>
        <v>0</v>
      </c>
      <c r="H37" s="13">
        <f t="shared" si="16"/>
        <v>0</v>
      </c>
      <c r="I37" s="13">
        <f t="shared" si="17"/>
        <v>0</v>
      </c>
      <c r="J37" s="13">
        <f t="shared" si="22"/>
        <v>0</v>
      </c>
      <c r="K37" s="13">
        <f t="shared" si="22"/>
        <v>0</v>
      </c>
      <c r="L37" s="13">
        <f t="shared" si="10"/>
        <v>0</v>
      </c>
      <c r="M37" s="13">
        <f t="shared" si="11"/>
        <v>0</v>
      </c>
      <c r="N37" s="18">
        <f t="shared" si="18"/>
        <v>0</v>
      </c>
      <c r="O37" s="18">
        <f t="shared" si="12"/>
        <v>0</v>
      </c>
      <c r="P37" s="22" t="str">
        <f t="shared" si="1"/>
        <v/>
      </c>
      <c r="Q37" s="23">
        <f t="shared" si="13"/>
        <v>0</v>
      </c>
      <c r="R37" s="23">
        <f t="shared" si="14"/>
        <v>0</v>
      </c>
      <c r="S37" s="23">
        <f t="shared" si="20"/>
        <v>0</v>
      </c>
      <c r="T37" s="24">
        <f t="shared" si="3"/>
        <v>0</v>
      </c>
      <c r="U37" s="242"/>
    </row>
    <row r="38" spans="1:22" x14ac:dyDescent="0.4">
      <c r="A38" s="12" t="str">
        <f t="shared" si="4"/>
        <v/>
      </c>
      <c r="B38" s="13">
        <f t="shared" si="5"/>
        <v>0</v>
      </c>
      <c r="C38" s="36" t="str">
        <f t="shared" si="21"/>
        <v/>
      </c>
      <c r="D38" s="14">
        <f t="shared" si="6"/>
        <v>0</v>
      </c>
      <c r="E38" s="13">
        <f t="shared" si="7"/>
        <v>0</v>
      </c>
      <c r="F38" s="13">
        <f t="shared" si="8"/>
        <v>0</v>
      </c>
      <c r="G38" s="13">
        <f t="shared" si="15"/>
        <v>0</v>
      </c>
      <c r="H38" s="13">
        <f t="shared" si="16"/>
        <v>0</v>
      </c>
      <c r="I38" s="13">
        <f t="shared" si="17"/>
        <v>0</v>
      </c>
      <c r="J38" s="13">
        <f t="shared" si="22"/>
        <v>0</v>
      </c>
      <c r="K38" s="13">
        <f t="shared" si="22"/>
        <v>0</v>
      </c>
      <c r="L38" s="13">
        <f t="shared" si="10"/>
        <v>0</v>
      </c>
      <c r="M38" s="13">
        <f t="shared" si="11"/>
        <v>0</v>
      </c>
      <c r="N38" s="18">
        <f t="shared" si="18"/>
        <v>0</v>
      </c>
      <c r="O38" s="18">
        <f t="shared" si="12"/>
        <v>0</v>
      </c>
      <c r="P38" s="22" t="str">
        <f t="shared" si="1"/>
        <v/>
      </c>
      <c r="Q38" s="23">
        <f t="shared" si="13"/>
        <v>0</v>
      </c>
      <c r="R38" s="23">
        <f t="shared" si="14"/>
        <v>0</v>
      </c>
      <c r="S38" s="23">
        <f t="shared" si="20"/>
        <v>0</v>
      </c>
      <c r="T38" s="24">
        <f t="shared" si="3"/>
        <v>0</v>
      </c>
      <c r="U38" s="242"/>
    </row>
    <row r="39" spans="1:22" x14ac:dyDescent="0.4">
      <c r="A39" s="12" t="str">
        <f t="shared" si="4"/>
        <v/>
      </c>
      <c r="B39" s="13">
        <f t="shared" si="5"/>
        <v>0</v>
      </c>
      <c r="C39" s="36" t="str">
        <f t="shared" si="21"/>
        <v/>
      </c>
      <c r="D39" s="14">
        <f t="shared" si="6"/>
        <v>0</v>
      </c>
      <c r="E39" s="13">
        <f t="shared" si="7"/>
        <v>0</v>
      </c>
      <c r="F39" s="13">
        <f t="shared" si="8"/>
        <v>0</v>
      </c>
      <c r="G39" s="13">
        <f t="shared" si="15"/>
        <v>0</v>
      </c>
      <c r="H39" s="13">
        <f t="shared" si="16"/>
        <v>0</v>
      </c>
      <c r="I39" s="13">
        <f t="shared" si="17"/>
        <v>0</v>
      </c>
      <c r="J39" s="13">
        <f t="shared" si="22"/>
        <v>0</v>
      </c>
      <c r="K39" s="13">
        <f t="shared" si="22"/>
        <v>0</v>
      </c>
      <c r="L39" s="13">
        <f t="shared" si="10"/>
        <v>0</v>
      </c>
      <c r="M39" s="13">
        <f t="shared" si="11"/>
        <v>0</v>
      </c>
      <c r="N39" s="18">
        <f t="shared" si="18"/>
        <v>0</v>
      </c>
      <c r="O39" s="18">
        <f t="shared" si="12"/>
        <v>0</v>
      </c>
      <c r="P39" s="22" t="str">
        <f t="shared" si="1"/>
        <v/>
      </c>
      <c r="Q39" s="23">
        <f t="shared" si="13"/>
        <v>0</v>
      </c>
      <c r="R39" s="23">
        <f t="shared" si="14"/>
        <v>0</v>
      </c>
      <c r="S39" s="23">
        <f t="shared" si="20"/>
        <v>0</v>
      </c>
      <c r="T39" s="24">
        <f t="shared" si="3"/>
        <v>0</v>
      </c>
      <c r="U39" s="242"/>
    </row>
    <row r="40" spans="1:22" x14ac:dyDescent="0.4">
      <c r="A40" s="12" t="str">
        <f t="shared" si="4"/>
        <v/>
      </c>
      <c r="B40" s="13">
        <f t="shared" si="5"/>
        <v>0</v>
      </c>
      <c r="C40" s="36" t="str">
        <f t="shared" si="21"/>
        <v/>
      </c>
      <c r="D40" s="14">
        <f t="shared" si="6"/>
        <v>0</v>
      </c>
      <c r="E40" s="13">
        <f t="shared" si="7"/>
        <v>0</v>
      </c>
      <c r="F40" s="13">
        <f t="shared" si="8"/>
        <v>0</v>
      </c>
      <c r="G40" s="13">
        <f t="shared" si="15"/>
        <v>0</v>
      </c>
      <c r="H40" s="13">
        <f t="shared" si="16"/>
        <v>0</v>
      </c>
      <c r="I40" s="13">
        <f t="shared" si="17"/>
        <v>0</v>
      </c>
      <c r="J40" s="13">
        <f t="shared" si="22"/>
        <v>0</v>
      </c>
      <c r="K40" s="13">
        <f t="shared" si="22"/>
        <v>0</v>
      </c>
      <c r="L40" s="13">
        <f t="shared" si="10"/>
        <v>0</v>
      </c>
      <c r="M40" s="13">
        <f t="shared" si="11"/>
        <v>0</v>
      </c>
      <c r="N40" s="18">
        <f t="shared" si="18"/>
        <v>0</v>
      </c>
      <c r="O40" s="18">
        <f t="shared" si="12"/>
        <v>0</v>
      </c>
      <c r="P40" s="22" t="str">
        <f t="shared" si="1"/>
        <v/>
      </c>
      <c r="Q40" s="23">
        <f t="shared" si="13"/>
        <v>0</v>
      </c>
      <c r="R40" s="23">
        <f t="shared" si="14"/>
        <v>0</v>
      </c>
      <c r="S40" s="23">
        <f t="shared" si="20"/>
        <v>0</v>
      </c>
      <c r="T40" s="24">
        <f t="shared" si="3"/>
        <v>0</v>
      </c>
      <c r="U40" s="242"/>
    </row>
    <row r="41" spans="1:22" x14ac:dyDescent="0.4">
      <c r="A41" s="12" t="str">
        <f t="shared" si="4"/>
        <v/>
      </c>
      <c r="B41" s="13">
        <f t="shared" si="5"/>
        <v>0</v>
      </c>
      <c r="C41" s="36" t="str">
        <f t="shared" si="21"/>
        <v/>
      </c>
      <c r="D41" s="14">
        <f t="shared" si="6"/>
        <v>0</v>
      </c>
      <c r="E41" s="13">
        <f t="shared" si="7"/>
        <v>0</v>
      </c>
      <c r="F41" s="13">
        <f t="shared" si="8"/>
        <v>0</v>
      </c>
      <c r="G41" s="13">
        <f t="shared" si="15"/>
        <v>0</v>
      </c>
      <c r="H41" s="13">
        <f t="shared" si="16"/>
        <v>0</v>
      </c>
      <c r="I41" s="13">
        <f t="shared" si="17"/>
        <v>0</v>
      </c>
      <c r="J41" s="13">
        <f t="shared" si="22"/>
        <v>0</v>
      </c>
      <c r="K41" s="13">
        <f t="shared" si="22"/>
        <v>0</v>
      </c>
      <c r="L41" s="13">
        <f t="shared" si="10"/>
        <v>0</v>
      </c>
      <c r="M41" s="13">
        <f t="shared" si="11"/>
        <v>0</v>
      </c>
      <c r="N41" s="18">
        <f t="shared" si="18"/>
        <v>0</v>
      </c>
      <c r="O41" s="18">
        <f t="shared" si="12"/>
        <v>0</v>
      </c>
      <c r="P41" s="22" t="str">
        <f t="shared" si="1"/>
        <v/>
      </c>
      <c r="Q41" s="23">
        <f t="shared" si="13"/>
        <v>0</v>
      </c>
      <c r="R41" s="23">
        <f t="shared" si="14"/>
        <v>0</v>
      </c>
      <c r="S41" s="23">
        <f t="shared" si="20"/>
        <v>0</v>
      </c>
      <c r="T41" s="24">
        <f t="shared" si="3"/>
        <v>0</v>
      </c>
      <c r="U41" s="242"/>
    </row>
    <row r="42" spans="1:22" x14ac:dyDescent="0.4">
      <c r="A42" s="12" t="str">
        <f t="shared" si="4"/>
        <v/>
      </c>
      <c r="B42" s="13">
        <f t="shared" si="5"/>
        <v>0</v>
      </c>
      <c r="C42" s="36" t="str">
        <f t="shared" si="21"/>
        <v/>
      </c>
      <c r="D42" s="14">
        <f t="shared" si="6"/>
        <v>0</v>
      </c>
      <c r="E42" s="13">
        <f t="shared" si="7"/>
        <v>0</v>
      </c>
      <c r="F42" s="13">
        <f t="shared" si="8"/>
        <v>0</v>
      </c>
      <c r="G42" s="13">
        <f t="shared" si="15"/>
        <v>0</v>
      </c>
      <c r="H42" s="13">
        <f t="shared" si="16"/>
        <v>0</v>
      </c>
      <c r="I42" s="13">
        <f t="shared" si="17"/>
        <v>0</v>
      </c>
      <c r="J42" s="13">
        <f t="shared" si="22"/>
        <v>0</v>
      </c>
      <c r="K42" s="13">
        <f t="shared" si="22"/>
        <v>0</v>
      </c>
      <c r="L42" s="13">
        <f t="shared" si="10"/>
        <v>0</v>
      </c>
      <c r="M42" s="13">
        <f t="shared" si="11"/>
        <v>0</v>
      </c>
      <c r="N42" s="18">
        <f t="shared" si="18"/>
        <v>0</v>
      </c>
      <c r="O42" s="18">
        <f t="shared" si="12"/>
        <v>0</v>
      </c>
      <c r="P42" s="22" t="str">
        <f t="shared" si="1"/>
        <v/>
      </c>
      <c r="Q42" s="23">
        <f t="shared" si="13"/>
        <v>0</v>
      </c>
      <c r="R42" s="23">
        <f t="shared" si="14"/>
        <v>0</v>
      </c>
      <c r="S42" s="23">
        <f t="shared" si="20"/>
        <v>0</v>
      </c>
      <c r="T42" s="24">
        <f t="shared" si="3"/>
        <v>0</v>
      </c>
      <c r="U42" s="242"/>
    </row>
    <row r="43" spans="1:22" x14ac:dyDescent="0.4">
      <c r="A43" s="12" t="str">
        <f t="shared" si="4"/>
        <v/>
      </c>
      <c r="B43" s="13">
        <f t="shared" si="5"/>
        <v>0</v>
      </c>
      <c r="C43" s="36" t="str">
        <f t="shared" si="21"/>
        <v/>
      </c>
      <c r="D43" s="14">
        <f t="shared" si="6"/>
        <v>0</v>
      </c>
      <c r="E43" s="13">
        <f t="shared" si="7"/>
        <v>0</v>
      </c>
      <c r="F43" s="13">
        <f t="shared" si="8"/>
        <v>0</v>
      </c>
      <c r="G43" s="13">
        <f t="shared" si="15"/>
        <v>0</v>
      </c>
      <c r="H43" s="13">
        <f t="shared" si="16"/>
        <v>0</v>
      </c>
      <c r="I43" s="13">
        <f t="shared" si="17"/>
        <v>0</v>
      </c>
      <c r="J43" s="13">
        <f t="shared" si="22"/>
        <v>0</v>
      </c>
      <c r="K43" s="13">
        <f t="shared" si="22"/>
        <v>0</v>
      </c>
      <c r="L43" s="13">
        <f t="shared" si="10"/>
        <v>0</v>
      </c>
      <c r="M43" s="13">
        <f t="shared" si="11"/>
        <v>0</v>
      </c>
      <c r="N43" s="18">
        <f t="shared" si="18"/>
        <v>0</v>
      </c>
      <c r="O43" s="18">
        <f t="shared" si="12"/>
        <v>0</v>
      </c>
      <c r="P43" s="22" t="str">
        <f>+A43</f>
        <v/>
      </c>
      <c r="Q43" s="23">
        <f t="shared" si="13"/>
        <v>0</v>
      </c>
      <c r="R43" s="23">
        <f t="shared" si="14"/>
        <v>0</v>
      </c>
      <c r="S43" s="23">
        <f t="shared" si="20"/>
        <v>0</v>
      </c>
      <c r="T43" s="24">
        <f t="shared" si="3"/>
        <v>0</v>
      </c>
      <c r="U43" s="242"/>
    </row>
    <row r="44" spans="1:22" x14ac:dyDescent="0.4">
      <c r="A44" s="12" t="str">
        <f t="shared" si="4"/>
        <v/>
      </c>
      <c r="B44" s="13">
        <f t="shared" si="5"/>
        <v>0</v>
      </c>
      <c r="C44" s="36" t="str">
        <f t="shared" si="21"/>
        <v/>
      </c>
      <c r="D44" s="14">
        <f t="shared" si="6"/>
        <v>0</v>
      </c>
      <c r="E44" s="13">
        <f t="shared" si="7"/>
        <v>0</v>
      </c>
      <c r="F44" s="13">
        <f t="shared" si="8"/>
        <v>0</v>
      </c>
      <c r="G44" s="13">
        <f t="shared" si="15"/>
        <v>0</v>
      </c>
      <c r="H44" s="13">
        <f t="shared" si="16"/>
        <v>0</v>
      </c>
      <c r="I44" s="13">
        <f t="shared" si="17"/>
        <v>0</v>
      </c>
      <c r="J44" s="13">
        <f t="shared" si="22"/>
        <v>0</v>
      </c>
      <c r="K44" s="13">
        <f t="shared" si="22"/>
        <v>0</v>
      </c>
      <c r="L44" s="13">
        <f t="shared" si="10"/>
        <v>0</v>
      </c>
      <c r="M44" s="13">
        <f t="shared" si="11"/>
        <v>0</v>
      </c>
      <c r="N44" s="18">
        <f t="shared" si="18"/>
        <v>0</v>
      </c>
      <c r="O44" s="18">
        <f t="shared" si="12"/>
        <v>0</v>
      </c>
      <c r="P44" s="22" t="str">
        <f t="shared" ref="P44" si="23">+A44</f>
        <v/>
      </c>
      <c r="Q44" s="23">
        <f t="shared" si="13"/>
        <v>0</v>
      </c>
      <c r="R44" s="23">
        <f t="shared" si="14"/>
        <v>0</v>
      </c>
      <c r="S44" s="23">
        <f t="shared" si="20"/>
        <v>0</v>
      </c>
      <c r="T44" s="24">
        <f t="shared" si="3"/>
        <v>0</v>
      </c>
      <c r="U44" s="242"/>
    </row>
    <row r="45" spans="1:22" s="5" customFormat="1" ht="18.75" thickBot="1" x14ac:dyDescent="0.45">
      <c r="A45" s="37" t="str">
        <f t="shared" si="4"/>
        <v/>
      </c>
      <c r="B45" s="38">
        <f t="shared" si="5"/>
        <v>0</v>
      </c>
      <c r="C45" s="39" t="str">
        <f t="shared" si="21"/>
        <v/>
      </c>
      <c r="D45" s="40">
        <f t="shared" si="6"/>
        <v>0</v>
      </c>
      <c r="E45" s="38">
        <f t="shared" si="7"/>
        <v>0</v>
      </c>
      <c r="F45" s="38">
        <f t="shared" si="8"/>
        <v>0</v>
      </c>
      <c r="G45" s="38">
        <f t="shared" si="15"/>
        <v>0</v>
      </c>
      <c r="H45" s="38">
        <f t="shared" si="16"/>
        <v>0</v>
      </c>
      <c r="I45" s="38">
        <f t="shared" si="17"/>
        <v>0</v>
      </c>
      <c r="J45" s="38">
        <f t="shared" si="22"/>
        <v>0</v>
      </c>
      <c r="K45" s="38">
        <f t="shared" si="22"/>
        <v>0</v>
      </c>
      <c r="L45" s="38">
        <f t="shared" si="10"/>
        <v>0</v>
      </c>
      <c r="M45" s="38">
        <f t="shared" si="11"/>
        <v>0</v>
      </c>
      <c r="N45" s="41">
        <f t="shared" si="18"/>
        <v>0</v>
      </c>
      <c r="O45" s="41">
        <f t="shared" si="12"/>
        <v>0</v>
      </c>
      <c r="P45" s="42" t="str">
        <f>+A45</f>
        <v/>
      </c>
      <c r="Q45" s="43">
        <f t="shared" si="13"/>
        <v>0</v>
      </c>
      <c r="R45" s="43">
        <f t="shared" si="14"/>
        <v>0</v>
      </c>
      <c r="S45" s="43">
        <f t="shared" si="20"/>
        <v>0</v>
      </c>
      <c r="T45" s="44">
        <f t="shared" si="3"/>
        <v>0</v>
      </c>
      <c r="U45" s="242"/>
    </row>
    <row r="46" spans="1:22" ht="18.75" thickBot="1" x14ac:dyDescent="0.45">
      <c r="A46" s="26">
        <f>MAX(A10:A45)</f>
        <v>54058</v>
      </c>
      <c r="B46" s="27">
        <f>MAX(B10:B45)</f>
        <v>24</v>
      </c>
      <c r="C46" s="27">
        <f>MAX(C10:C45)</f>
        <v>45700</v>
      </c>
      <c r="D46" s="28">
        <f>MAX(D10:D45)</f>
        <v>1.9400000000000013</v>
      </c>
      <c r="E46" s="27">
        <f>SUM(E10:E45)</f>
        <v>1063220</v>
      </c>
      <c r="F46" s="27">
        <f>SUM(F10:F45)</f>
        <v>1859820</v>
      </c>
      <c r="G46" s="27">
        <f>SUM(G9:G45)</f>
        <v>767070</v>
      </c>
      <c r="H46" s="27">
        <f>SUM(H9:H45)</f>
        <v>470998</v>
      </c>
      <c r="I46" s="27">
        <f>SUM(I10:I45)</f>
        <v>446359</v>
      </c>
      <c r="J46" s="27">
        <f t="shared" ref="J46:K46" si="24">SUM(J10:J45)</f>
        <v>3631206</v>
      </c>
      <c r="K46" s="27">
        <f t="shared" si="24"/>
        <v>2516811</v>
      </c>
      <c r="L46" s="27">
        <f>SUM(L10:L45)</f>
        <v>6148017</v>
      </c>
      <c r="M46" s="27">
        <f>MAX(M10:M45)</f>
        <v>6148017</v>
      </c>
      <c r="N46" s="27">
        <f>SUM(N10:N45)</f>
        <v>4317855</v>
      </c>
      <c r="O46" s="27">
        <f t="shared" ref="O46:T46" si="25">MAX(O10:O45)</f>
        <v>6516898</v>
      </c>
      <c r="P46" s="27">
        <f t="shared" si="25"/>
        <v>54058</v>
      </c>
      <c r="Q46" s="27">
        <f t="shared" si="25"/>
        <v>98.588621726605751</v>
      </c>
      <c r="R46" s="27">
        <f t="shared" si="25"/>
        <v>22387.424999999999</v>
      </c>
      <c r="S46" s="27">
        <f t="shared" si="25"/>
        <v>99475.729708274215</v>
      </c>
      <c r="T46" s="27">
        <f t="shared" si="25"/>
        <v>9807175</v>
      </c>
      <c r="U46" s="242"/>
      <c r="V46" s="1">
        <f>+T46*64%</f>
        <v>6276592</v>
      </c>
    </row>
    <row r="47" spans="1:22" x14ac:dyDescent="0.4">
      <c r="A47" s="250" t="s">
        <v>35</v>
      </c>
      <c r="B47" s="250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30"/>
      <c r="O47" s="30"/>
      <c r="P47" s="30"/>
      <c r="Q47" s="30"/>
      <c r="R47" s="30"/>
      <c r="S47" s="30"/>
      <c r="T47" s="30"/>
      <c r="U47" s="242"/>
    </row>
    <row r="48" spans="1:22" x14ac:dyDescent="0.4">
      <c r="A48" s="191" t="s">
        <v>39</v>
      </c>
      <c r="B48" s="192"/>
      <c r="C48" s="192"/>
      <c r="D48" s="192"/>
      <c r="E48" s="192"/>
      <c r="F48" s="45"/>
      <c r="G48" s="46" t="s">
        <v>57</v>
      </c>
      <c r="H48" s="45"/>
      <c r="I48" s="45"/>
      <c r="J48" s="45"/>
      <c r="K48" s="45"/>
      <c r="L48" s="45"/>
      <c r="M48" s="30"/>
      <c r="N48" s="30"/>
      <c r="O48" s="30"/>
      <c r="P48" s="30"/>
      <c r="Q48" s="30"/>
      <c r="R48" s="30"/>
      <c r="S48" s="30"/>
      <c r="T48" s="30"/>
      <c r="U48" s="242"/>
      <c r="V48" s="1">
        <f>SUM(V46:V47)</f>
        <v>6276592</v>
      </c>
    </row>
    <row r="49" spans="1:22" ht="18" customHeight="1" x14ac:dyDescent="0.4">
      <c r="A49" s="47" t="s">
        <v>36</v>
      </c>
      <c r="B49" s="193" t="s">
        <v>56</v>
      </c>
      <c r="C49" s="193"/>
      <c r="D49" s="193" t="s">
        <v>55</v>
      </c>
      <c r="E49" s="193"/>
      <c r="F49" s="45"/>
      <c r="G49" s="251" t="s">
        <v>58</v>
      </c>
      <c r="H49" s="251"/>
      <c r="I49" s="251"/>
      <c r="J49" s="251"/>
      <c r="K49" s="92"/>
      <c r="L49" s="92"/>
      <c r="M49" s="30"/>
      <c r="N49" s="30"/>
      <c r="O49" s="30"/>
      <c r="P49" s="30"/>
      <c r="Q49" s="30"/>
      <c r="R49" s="30"/>
      <c r="S49" s="30"/>
      <c r="T49" s="30"/>
      <c r="U49" s="242"/>
    </row>
    <row r="50" spans="1:22" x14ac:dyDescent="0.4">
      <c r="A50" s="47">
        <v>1</v>
      </c>
      <c r="B50" s="193" t="s">
        <v>17</v>
      </c>
      <c r="C50" s="193"/>
      <c r="D50" s="193">
        <f>+C46</f>
        <v>45700</v>
      </c>
      <c r="E50" s="193"/>
      <c r="F50" s="45"/>
      <c r="G50" s="251"/>
      <c r="H50" s="251"/>
      <c r="I50" s="251"/>
      <c r="J50" s="251"/>
      <c r="K50" s="92"/>
      <c r="L50" s="92"/>
      <c r="M50" s="30"/>
      <c r="N50" s="30"/>
      <c r="O50" s="30"/>
      <c r="P50" s="30"/>
      <c r="Q50" s="30"/>
      <c r="R50" s="30"/>
      <c r="S50" s="30"/>
      <c r="T50" s="30"/>
      <c r="U50" s="242"/>
    </row>
    <row r="51" spans="1:22" x14ac:dyDescent="0.4">
      <c r="A51" s="47">
        <v>2</v>
      </c>
      <c r="B51" s="193" t="s">
        <v>37</v>
      </c>
      <c r="C51" s="193"/>
      <c r="D51" s="193">
        <f>+D50/2</f>
        <v>22850</v>
      </c>
      <c r="E51" s="193"/>
      <c r="F51" s="45"/>
      <c r="G51" s="251"/>
      <c r="H51" s="251"/>
      <c r="I51" s="251"/>
      <c r="J51" s="251"/>
      <c r="K51" s="45"/>
      <c r="L51" s="45"/>
      <c r="M51" s="30"/>
      <c r="N51" s="30"/>
      <c r="O51" s="30"/>
      <c r="P51" s="30"/>
      <c r="Q51" s="30"/>
      <c r="R51" s="30"/>
      <c r="S51" s="30"/>
      <c r="T51" s="30"/>
      <c r="U51" s="242"/>
    </row>
    <row r="52" spans="1:22" x14ac:dyDescent="0.4">
      <c r="A52" s="47">
        <v>3</v>
      </c>
      <c r="B52" s="193" t="s">
        <v>19</v>
      </c>
      <c r="C52" s="193"/>
      <c r="D52" s="193">
        <f>ROUND(D51*D46,0)</f>
        <v>44329</v>
      </c>
      <c r="E52" s="193"/>
      <c r="F52" s="45"/>
      <c r="G52" s="251"/>
      <c r="H52" s="251"/>
      <c r="I52" s="251"/>
      <c r="J52" s="251"/>
      <c r="K52" s="45"/>
      <c r="L52" s="45"/>
      <c r="M52" s="30"/>
      <c r="N52" s="30"/>
      <c r="O52" s="30"/>
      <c r="P52" s="30"/>
      <c r="Q52" s="30"/>
      <c r="R52" s="30"/>
      <c r="S52" s="30"/>
      <c r="T52" s="30"/>
      <c r="U52" s="242"/>
      <c r="V52" s="1">
        <f>+T46/240</f>
        <v>40863.229166666664</v>
      </c>
    </row>
    <row r="53" spans="1:22" x14ac:dyDescent="0.4">
      <c r="A53" s="47">
        <v>4</v>
      </c>
      <c r="B53" s="193" t="s">
        <v>18</v>
      </c>
      <c r="C53" s="193"/>
      <c r="D53" s="193">
        <f>+D51+D52</f>
        <v>67179</v>
      </c>
      <c r="E53" s="193"/>
      <c r="F53" s="45"/>
      <c r="G53" s="251"/>
      <c r="H53" s="251"/>
      <c r="I53" s="251"/>
      <c r="J53" s="251"/>
      <c r="K53" s="45"/>
      <c r="L53" s="45"/>
      <c r="M53" s="30"/>
      <c r="N53" s="30"/>
      <c r="O53" s="30"/>
      <c r="P53" s="30"/>
      <c r="Q53" s="30"/>
      <c r="R53" s="30"/>
      <c r="S53" s="30"/>
      <c r="T53" s="30"/>
      <c r="U53" s="242"/>
    </row>
    <row r="54" spans="1:22" ht="32.25" customHeight="1" x14ac:dyDescent="0.4">
      <c r="A54" s="213" t="s">
        <v>62</v>
      </c>
      <c r="B54" s="213"/>
      <c r="C54" s="213"/>
      <c r="D54" s="213"/>
      <c r="E54" s="213"/>
      <c r="F54" s="45"/>
      <c r="G54" s="251"/>
      <c r="H54" s="251"/>
      <c r="I54" s="251"/>
      <c r="J54" s="251"/>
      <c r="K54" s="45"/>
      <c r="L54" s="45"/>
      <c r="M54" s="30"/>
      <c r="N54" s="30"/>
      <c r="O54" s="30"/>
      <c r="P54" s="30"/>
      <c r="Q54" s="30"/>
      <c r="R54" s="30"/>
      <c r="S54" s="30"/>
      <c r="T54" s="30"/>
      <c r="U54" s="242"/>
    </row>
    <row r="55" spans="1:22" x14ac:dyDescent="0.4">
      <c r="A55" s="203" t="s">
        <v>38</v>
      </c>
      <c r="B55" s="203"/>
      <c r="C55" s="203"/>
      <c r="D55" s="193">
        <f>+ROUND(D50*30%,0)</f>
        <v>13710</v>
      </c>
      <c r="E55" s="193"/>
      <c r="F55" s="45"/>
      <c r="G55" s="251"/>
      <c r="H55" s="251"/>
      <c r="I55" s="251"/>
      <c r="J55" s="251"/>
      <c r="K55" s="45"/>
      <c r="L55" s="45"/>
      <c r="M55" s="30"/>
      <c r="N55" s="30"/>
      <c r="O55" s="30"/>
      <c r="P55" s="30"/>
      <c r="Q55" s="30"/>
      <c r="R55" s="30"/>
      <c r="S55" s="30"/>
      <c r="T55" s="30"/>
      <c r="U55" s="242"/>
    </row>
    <row r="56" spans="1:22" x14ac:dyDescent="0.4">
      <c r="A56" s="203" t="s">
        <v>19</v>
      </c>
      <c r="B56" s="203"/>
      <c r="C56" s="203"/>
      <c r="D56" s="193">
        <f>ROUND(D55*D46,0)</f>
        <v>26597</v>
      </c>
      <c r="E56" s="193"/>
      <c r="F56" s="45"/>
      <c r="G56" s="251"/>
      <c r="H56" s="251"/>
      <c r="I56" s="251"/>
      <c r="J56" s="251"/>
      <c r="K56" s="45"/>
      <c r="L56" s="45"/>
      <c r="M56" s="30"/>
      <c r="N56" s="30"/>
      <c r="O56" s="30"/>
      <c r="P56" s="30"/>
      <c r="Q56" s="30"/>
      <c r="R56" s="30"/>
      <c r="S56" s="30"/>
      <c r="T56" s="30"/>
      <c r="U56" s="242"/>
    </row>
    <row r="57" spans="1:22" x14ac:dyDescent="0.4">
      <c r="A57" s="203" t="s">
        <v>21</v>
      </c>
      <c r="B57" s="203"/>
      <c r="C57" s="203"/>
      <c r="D57" s="193">
        <f>+D55+D56</f>
        <v>40307</v>
      </c>
      <c r="E57" s="193"/>
      <c r="F57" s="45"/>
      <c r="G57" s="45" t="s">
        <v>113</v>
      </c>
      <c r="H57" s="45"/>
      <c r="I57" s="114">
        <f>((D50*D46)+D50)*10</f>
        <v>1343580.0000000005</v>
      </c>
      <c r="J57" s="45"/>
      <c r="K57" s="45"/>
      <c r="L57" s="45"/>
      <c r="M57" s="30"/>
      <c r="N57" s="30"/>
      <c r="O57" s="30"/>
      <c r="P57" s="30"/>
      <c r="Q57" s="30"/>
      <c r="R57" s="30"/>
      <c r="S57" s="30"/>
      <c r="T57" s="30"/>
      <c r="U57" s="242"/>
    </row>
    <row r="58" spans="1:22" x14ac:dyDescent="0.4">
      <c r="A58" s="203"/>
      <c r="B58" s="203"/>
      <c r="C58" s="203"/>
      <c r="D58" s="193"/>
      <c r="E58" s="193"/>
      <c r="F58" s="45"/>
      <c r="G58" s="45"/>
      <c r="H58" s="45"/>
      <c r="I58" s="45"/>
      <c r="J58" s="45"/>
      <c r="K58" s="45"/>
      <c r="L58" s="45"/>
      <c r="M58" s="30"/>
      <c r="N58" s="30"/>
      <c r="O58" s="30"/>
      <c r="P58" s="30"/>
      <c r="Q58" s="30"/>
      <c r="R58" s="30"/>
      <c r="S58" s="30"/>
      <c r="T58" s="30"/>
      <c r="U58" s="242"/>
    </row>
    <row r="59" spans="1:22" ht="22.5" customHeight="1" x14ac:dyDescent="0.4">
      <c r="A59" s="253" t="s">
        <v>40</v>
      </c>
      <c r="B59" s="253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48"/>
      <c r="N59" s="30"/>
      <c r="O59" s="30"/>
      <c r="P59" s="30"/>
      <c r="Q59" s="30"/>
      <c r="R59" s="30"/>
      <c r="S59" s="30"/>
      <c r="T59" s="30"/>
      <c r="U59" s="242"/>
    </row>
    <row r="60" spans="1:22" x14ac:dyDescent="0.4">
      <c r="A60" s="204" t="s">
        <v>63</v>
      </c>
      <c r="B60" s="205"/>
      <c r="C60" s="206"/>
      <c r="D60" s="254">
        <f>+T46*40%</f>
        <v>3922870</v>
      </c>
      <c r="E60" s="255"/>
      <c r="F60" s="49">
        <f>ROUND((D60*8%)/12,0)</f>
        <v>26152</v>
      </c>
      <c r="G60" s="50"/>
      <c r="H60" s="52" t="s">
        <v>57</v>
      </c>
      <c r="I60" s="50"/>
      <c r="J60" s="50"/>
      <c r="K60" s="50"/>
      <c r="L60" s="50"/>
      <c r="M60" s="30"/>
      <c r="N60" s="30"/>
      <c r="O60" s="30"/>
      <c r="P60" s="30"/>
      <c r="Q60" s="30"/>
      <c r="R60" s="30"/>
      <c r="S60" s="30"/>
      <c r="T60" s="30"/>
      <c r="U60" s="242"/>
    </row>
    <row r="61" spans="1:22" x14ac:dyDescent="0.4">
      <c r="A61" s="208" t="s">
        <v>64</v>
      </c>
      <c r="B61" s="208"/>
      <c r="C61" s="208"/>
      <c r="D61" s="252">
        <f>+T46*60%</f>
        <v>5884305</v>
      </c>
      <c r="E61" s="252"/>
      <c r="F61" s="49">
        <f>ROUND((D61*8%)/12,0)</f>
        <v>39229</v>
      </c>
      <c r="G61" s="50"/>
      <c r="H61" s="50"/>
      <c r="I61" s="50"/>
      <c r="J61" s="50"/>
      <c r="K61" s="50"/>
      <c r="L61" s="50"/>
      <c r="M61" s="30"/>
      <c r="N61" s="30"/>
      <c r="O61" s="30"/>
      <c r="P61" s="30"/>
      <c r="Q61" s="30"/>
      <c r="R61" s="30"/>
      <c r="S61" s="30"/>
      <c r="T61" s="30"/>
      <c r="U61" s="242"/>
    </row>
    <row r="62" spans="1:22" x14ac:dyDescent="0.4">
      <c r="A62" s="208" t="s">
        <v>65</v>
      </c>
      <c r="B62" s="208"/>
      <c r="C62" s="208"/>
      <c r="D62" s="252">
        <f>SUM(D60:D61)</f>
        <v>9807175</v>
      </c>
      <c r="E62" s="252"/>
      <c r="F62" s="49">
        <f>SUM(F60:F61)</f>
        <v>65381</v>
      </c>
      <c r="G62" s="256" t="s">
        <v>61</v>
      </c>
      <c r="H62" s="256"/>
      <c r="I62" s="256"/>
      <c r="J62" s="256"/>
      <c r="K62" s="50"/>
      <c r="L62" s="50"/>
      <c r="M62" s="30"/>
      <c r="N62" s="30"/>
      <c r="O62" s="30"/>
      <c r="P62" s="30"/>
      <c r="Q62" s="30"/>
      <c r="R62" s="30"/>
      <c r="S62" s="30"/>
      <c r="T62" s="30"/>
      <c r="U62" s="242"/>
    </row>
    <row r="63" spans="1:22" x14ac:dyDescent="0.4">
      <c r="A63" s="210" t="s">
        <v>66</v>
      </c>
      <c r="B63" s="211"/>
      <c r="C63" s="211"/>
      <c r="D63" s="211"/>
      <c r="E63" s="212"/>
      <c r="F63" s="51">
        <f>+F62</f>
        <v>65381</v>
      </c>
      <c r="G63" s="256"/>
      <c r="H63" s="256"/>
      <c r="I63" s="256"/>
      <c r="J63" s="256"/>
      <c r="K63" s="50"/>
      <c r="L63" s="50"/>
      <c r="M63" s="30"/>
      <c r="N63" s="30"/>
      <c r="O63" s="30"/>
      <c r="P63" s="30"/>
      <c r="Q63" s="30"/>
      <c r="R63" s="30"/>
      <c r="S63" s="30"/>
      <c r="T63" s="30"/>
      <c r="U63" s="242"/>
    </row>
    <row r="64" spans="1:22" x14ac:dyDescent="0.4">
      <c r="A64" s="210" t="s">
        <v>67</v>
      </c>
      <c r="B64" s="211"/>
      <c r="C64" s="211"/>
      <c r="D64" s="211"/>
      <c r="E64" s="212"/>
      <c r="F64" s="51">
        <f>+F63-D53</f>
        <v>-1798</v>
      </c>
      <c r="G64" s="256"/>
      <c r="H64" s="256"/>
      <c r="I64" s="256"/>
      <c r="J64" s="256"/>
      <c r="K64" s="50"/>
      <c r="L64" s="50"/>
      <c r="M64" s="30"/>
      <c r="N64" s="30"/>
      <c r="O64" s="30"/>
      <c r="P64" s="30"/>
      <c r="Q64" s="30"/>
      <c r="R64" s="30"/>
      <c r="S64" s="30"/>
      <c r="T64" s="30"/>
      <c r="U64" s="242"/>
    </row>
    <row r="65" spans="1:21" x14ac:dyDescent="0.4">
      <c r="A65" s="50"/>
      <c r="B65" s="50"/>
      <c r="C65" s="50"/>
      <c r="D65" s="50"/>
      <c r="E65" s="50"/>
      <c r="F65" s="50"/>
      <c r="G65" s="256"/>
      <c r="H65" s="256"/>
      <c r="I65" s="256"/>
      <c r="J65" s="256"/>
      <c r="K65" s="50"/>
      <c r="L65" s="50"/>
      <c r="M65" s="30"/>
      <c r="N65" s="30"/>
      <c r="O65" s="30"/>
      <c r="P65" s="30"/>
      <c r="Q65" s="30"/>
      <c r="R65" s="30"/>
      <c r="S65" s="30"/>
      <c r="T65" s="30"/>
      <c r="U65" s="242"/>
    </row>
    <row r="66" spans="1:21" x14ac:dyDescent="0.4">
      <c r="A66" s="49" t="s">
        <v>36</v>
      </c>
      <c r="B66" s="252" t="s">
        <v>56</v>
      </c>
      <c r="C66" s="252"/>
      <c r="D66" s="252" t="s">
        <v>55</v>
      </c>
      <c r="E66" s="252"/>
      <c r="F66" s="50"/>
      <c r="G66" s="256"/>
      <c r="H66" s="256"/>
      <c r="I66" s="256"/>
      <c r="J66" s="256"/>
      <c r="K66" s="50"/>
      <c r="L66" s="50"/>
      <c r="M66" s="30"/>
      <c r="N66" s="30"/>
      <c r="O66" s="30"/>
      <c r="P66" s="30"/>
      <c r="Q66" s="30"/>
      <c r="R66" s="30"/>
      <c r="S66" s="30"/>
      <c r="T66" s="30"/>
      <c r="U66" s="242"/>
    </row>
    <row r="67" spans="1:21" ht="18" customHeight="1" x14ac:dyDescent="0.4">
      <c r="A67" s="49">
        <v>1</v>
      </c>
      <c r="B67" s="252" t="s">
        <v>17</v>
      </c>
      <c r="C67" s="252"/>
      <c r="D67" s="252">
        <f>+D50</f>
        <v>45700</v>
      </c>
      <c r="E67" s="252"/>
      <c r="F67" s="50"/>
      <c r="G67" s="256"/>
      <c r="H67" s="256"/>
      <c r="I67" s="256"/>
      <c r="J67" s="256"/>
      <c r="K67" s="93"/>
      <c r="L67" s="93"/>
      <c r="M67" s="30"/>
      <c r="N67" s="30"/>
      <c r="O67" s="30"/>
      <c r="P67" s="30"/>
      <c r="Q67" s="30"/>
      <c r="R67" s="30"/>
      <c r="S67" s="30"/>
      <c r="T67" s="30"/>
      <c r="U67" s="242"/>
    </row>
    <row r="68" spans="1:21" x14ac:dyDescent="0.4">
      <c r="A68" s="49">
        <v>2</v>
      </c>
      <c r="B68" s="252" t="s">
        <v>37</v>
      </c>
      <c r="C68" s="252"/>
      <c r="D68" s="252">
        <f>+D67/2</f>
        <v>22850</v>
      </c>
      <c r="E68" s="252"/>
      <c r="F68" s="50"/>
      <c r="G68" s="93"/>
      <c r="H68" s="93"/>
      <c r="I68" s="93"/>
      <c r="J68" s="93"/>
      <c r="K68" s="93"/>
      <c r="L68" s="93"/>
      <c r="M68" s="30"/>
      <c r="N68" s="30"/>
      <c r="O68" s="30"/>
      <c r="P68" s="30"/>
      <c r="Q68" s="30"/>
      <c r="R68" s="30"/>
      <c r="S68" s="30"/>
      <c r="T68" s="30"/>
      <c r="U68" s="242"/>
    </row>
    <row r="69" spans="1:21" x14ac:dyDescent="0.4">
      <c r="A69" s="49">
        <v>3</v>
      </c>
      <c r="B69" s="252" t="s">
        <v>19</v>
      </c>
      <c r="C69" s="252"/>
      <c r="D69" s="252">
        <f>ROUND(D68*D46,0)</f>
        <v>44329</v>
      </c>
      <c r="E69" s="252"/>
      <c r="F69" s="50"/>
      <c r="G69" s="52" t="s">
        <v>59</v>
      </c>
      <c r="H69" s="50"/>
      <c r="I69" s="50"/>
      <c r="J69" s="50"/>
      <c r="K69" s="50" cm="1">
        <f t="array" ref="K69">D68/2*MIN(66, DATEDIF(H5,H6,"Y")*2 + _xlfn.IFS(DATEDIF(H5,H6,"Ym")&gt;9, 2, DATEDIF(H5,H6,"Ym")&gt;3, 1, TRUE, 0))</f>
        <v>719775</v>
      </c>
      <c r="L69" s="50" t="s">
        <v>84</v>
      </c>
      <c r="M69" s="30"/>
      <c r="N69" s="30"/>
      <c r="O69" s="30"/>
      <c r="P69" s="30"/>
      <c r="Q69" s="30"/>
      <c r="R69" s="30"/>
      <c r="S69" s="30"/>
      <c r="T69" s="30"/>
      <c r="U69" s="242"/>
    </row>
    <row r="70" spans="1:21" x14ac:dyDescent="0.4">
      <c r="A70" s="49">
        <v>4</v>
      </c>
      <c r="B70" s="252" t="s">
        <v>116</v>
      </c>
      <c r="C70" s="252"/>
      <c r="D70" s="252">
        <f>+D68+D69</f>
        <v>67179</v>
      </c>
      <c r="E70" s="252"/>
      <c r="F70" s="50"/>
      <c r="G70" s="52" t="s">
        <v>60</v>
      </c>
      <c r="H70" s="50"/>
      <c r="I70" s="50"/>
      <c r="J70" s="50"/>
      <c r="K70" s="50"/>
      <c r="L70" s="50"/>
      <c r="M70" s="30"/>
      <c r="N70" s="30"/>
      <c r="O70" s="30"/>
      <c r="P70" s="30"/>
      <c r="Q70" s="30"/>
      <c r="R70" s="30"/>
      <c r="S70" s="30"/>
      <c r="T70" s="30"/>
      <c r="U70" s="242"/>
    </row>
    <row r="71" spans="1:21" x14ac:dyDescent="0.4">
      <c r="A71" s="258" t="s">
        <v>62</v>
      </c>
      <c r="B71" s="258"/>
      <c r="C71" s="258"/>
      <c r="D71" s="258"/>
      <c r="E71" s="258"/>
      <c r="F71" s="50"/>
      <c r="G71" s="45" t="s">
        <v>113</v>
      </c>
      <c r="H71" s="50"/>
      <c r="I71" s="115">
        <f>+I57</f>
        <v>1343580.0000000005</v>
      </c>
      <c r="J71" s="50"/>
      <c r="K71" s="50"/>
      <c r="L71" s="50"/>
      <c r="M71" s="30"/>
      <c r="N71" s="30"/>
      <c r="O71" s="30"/>
      <c r="P71" s="30"/>
      <c r="Q71" s="30"/>
      <c r="R71" s="30"/>
      <c r="S71" s="30"/>
      <c r="T71" s="30"/>
      <c r="U71" s="242"/>
    </row>
    <row r="72" spans="1:21" x14ac:dyDescent="0.4">
      <c r="A72" s="257" t="s">
        <v>38</v>
      </c>
      <c r="B72" s="257"/>
      <c r="C72" s="257"/>
      <c r="D72" s="252">
        <f>+ROUND(D67*30%,0)</f>
        <v>13710</v>
      </c>
      <c r="E72" s="252"/>
      <c r="F72" s="50"/>
      <c r="G72" s="50"/>
      <c r="H72" s="111">
        <f>+D60</f>
        <v>3922870</v>
      </c>
      <c r="I72" s="52" t="s">
        <v>81</v>
      </c>
      <c r="J72" s="50"/>
      <c r="K72" s="50"/>
      <c r="L72" s="50"/>
      <c r="M72" s="30"/>
      <c r="N72" s="30"/>
      <c r="O72" s="30"/>
      <c r="P72" s="30"/>
      <c r="Q72" s="30"/>
      <c r="R72" s="30"/>
      <c r="S72" s="30"/>
      <c r="T72" s="30"/>
      <c r="U72" s="242"/>
    </row>
    <row r="73" spans="1:21" x14ac:dyDescent="0.4">
      <c r="A73" s="257" t="s">
        <v>19</v>
      </c>
      <c r="B73" s="257"/>
      <c r="C73" s="257"/>
      <c r="D73" s="252">
        <f>ROUND(D72*D46,0)</f>
        <v>26597</v>
      </c>
      <c r="E73" s="252"/>
      <c r="F73" s="50"/>
      <c r="G73" s="50"/>
      <c r="H73" s="50"/>
      <c r="I73" s="50"/>
      <c r="J73" s="50"/>
      <c r="K73" s="50"/>
      <c r="L73" s="50"/>
      <c r="M73" s="30"/>
      <c r="N73" s="30"/>
      <c r="O73" s="30"/>
      <c r="P73" s="30"/>
      <c r="Q73" s="30"/>
      <c r="R73" s="30"/>
      <c r="S73" s="30"/>
      <c r="T73" s="30"/>
      <c r="U73" s="242"/>
    </row>
    <row r="74" spans="1:21" x14ac:dyDescent="0.4">
      <c r="A74" s="257" t="s">
        <v>21</v>
      </c>
      <c r="B74" s="257"/>
      <c r="C74" s="257"/>
      <c r="D74" s="252">
        <f>+D72+D73</f>
        <v>40307</v>
      </c>
      <c r="E74" s="252"/>
      <c r="F74" s="50"/>
      <c r="G74" s="50"/>
      <c r="H74" s="50"/>
      <c r="I74" s="50"/>
      <c r="J74" s="50"/>
      <c r="K74" s="50"/>
      <c r="L74" s="50"/>
      <c r="M74" s="30"/>
      <c r="N74" s="30"/>
      <c r="O74" s="30"/>
      <c r="P74" s="30"/>
      <c r="Q74" s="30"/>
      <c r="R74" s="30"/>
      <c r="S74" s="30"/>
      <c r="T74" s="30"/>
      <c r="U74" s="242"/>
    </row>
    <row r="75" spans="1:21" x14ac:dyDescent="0.4">
      <c r="A75" s="259" t="s">
        <v>41</v>
      </c>
      <c r="B75" s="260"/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30"/>
      <c r="N75" s="30"/>
      <c r="O75" s="30"/>
      <c r="P75" s="30"/>
      <c r="Q75" s="30"/>
      <c r="R75" s="30"/>
      <c r="S75" s="30"/>
      <c r="T75" s="30"/>
      <c r="U75" s="242"/>
    </row>
    <row r="76" spans="1:21" x14ac:dyDescent="0.4">
      <c r="A76" s="31"/>
      <c r="B76" s="5"/>
      <c r="C76" s="5"/>
      <c r="D76" s="32"/>
      <c r="E76" s="5"/>
      <c r="F76" s="34" t="s">
        <v>68</v>
      </c>
      <c r="G76" s="5"/>
      <c r="H76" s="5"/>
      <c r="I76" s="5"/>
      <c r="J76" s="34" t="s">
        <v>43</v>
      </c>
      <c r="K76" s="34"/>
      <c r="L76" s="5"/>
      <c r="M76" s="5"/>
      <c r="N76" s="30"/>
      <c r="O76" s="30"/>
      <c r="P76" s="30"/>
      <c r="Q76" s="30"/>
      <c r="R76" s="30"/>
      <c r="S76" s="30"/>
      <c r="T76" s="30"/>
      <c r="U76" s="242"/>
    </row>
    <row r="77" spans="1:21" x14ac:dyDescent="0.4">
      <c r="A77" s="53" t="s">
        <v>36</v>
      </c>
      <c r="B77" s="197" t="s">
        <v>56</v>
      </c>
      <c r="C77" s="197"/>
      <c r="D77" s="197" t="s">
        <v>55</v>
      </c>
      <c r="E77" s="197"/>
      <c r="F77" s="55"/>
      <c r="G77" s="55"/>
      <c r="H77" s="56" t="s">
        <v>69</v>
      </c>
      <c r="I77" s="53">
        <v>15</v>
      </c>
      <c r="J77" s="53">
        <v>10</v>
      </c>
      <c r="K77" s="55"/>
      <c r="L77" s="55"/>
      <c r="M77" s="30"/>
      <c r="N77" s="30"/>
      <c r="O77" s="30"/>
      <c r="P77" s="30"/>
      <c r="Q77" s="30"/>
      <c r="R77" s="30"/>
      <c r="S77" s="30"/>
      <c r="T77" s="30"/>
      <c r="U77" s="242"/>
    </row>
    <row r="78" spans="1:21" x14ac:dyDescent="0.4">
      <c r="A78" s="53">
        <v>1</v>
      </c>
      <c r="B78" s="197" t="s">
        <v>17</v>
      </c>
      <c r="C78" s="197"/>
      <c r="D78" s="197">
        <f>+D50</f>
        <v>45700</v>
      </c>
      <c r="E78" s="197"/>
      <c r="F78" s="55"/>
      <c r="G78" s="94">
        <f>+D78</f>
        <v>45700</v>
      </c>
      <c r="H78" s="55"/>
      <c r="I78" s="53">
        <f>+D78</f>
        <v>45700</v>
      </c>
      <c r="J78" s="53">
        <f>+D78</f>
        <v>45700</v>
      </c>
      <c r="K78" s="55"/>
      <c r="L78" s="55"/>
      <c r="M78" s="30"/>
      <c r="N78" s="30"/>
      <c r="O78" s="30"/>
      <c r="P78" s="30"/>
      <c r="Q78" s="30"/>
      <c r="R78" s="30"/>
      <c r="S78" s="30"/>
      <c r="T78" s="30"/>
      <c r="U78" s="242"/>
    </row>
    <row r="79" spans="1:21" x14ac:dyDescent="0.4">
      <c r="A79" s="53">
        <v>2</v>
      </c>
      <c r="B79" s="197" t="s">
        <v>37</v>
      </c>
      <c r="C79" s="197"/>
      <c r="D79" s="197">
        <f>+D78/2</f>
        <v>22850</v>
      </c>
      <c r="E79" s="197"/>
      <c r="F79" s="55"/>
      <c r="G79" s="53">
        <f>+G78/2</f>
        <v>22850</v>
      </c>
      <c r="H79" s="55"/>
      <c r="I79" s="53">
        <f>+G79*I77/20</f>
        <v>17137.5</v>
      </c>
      <c r="J79" s="53">
        <f>+G79*J77/20</f>
        <v>11425</v>
      </c>
      <c r="K79" s="55"/>
      <c r="L79" s="55"/>
      <c r="M79" s="30"/>
      <c r="N79" s="30"/>
      <c r="O79" s="30"/>
      <c r="P79" s="30"/>
      <c r="Q79" s="30"/>
      <c r="R79" s="30"/>
      <c r="S79" s="30"/>
      <c r="T79" s="30"/>
      <c r="U79" s="242"/>
    </row>
    <row r="80" spans="1:21" x14ac:dyDescent="0.4">
      <c r="A80" s="53">
        <v>3</v>
      </c>
      <c r="B80" s="197" t="s">
        <v>19</v>
      </c>
      <c r="C80" s="197"/>
      <c r="D80" s="197">
        <f>ROUND(D79*D46,0)</f>
        <v>44329</v>
      </c>
      <c r="E80" s="197"/>
      <c r="F80" s="55"/>
      <c r="G80" s="53">
        <f>G79*D46</f>
        <v>44329.000000000029</v>
      </c>
      <c r="H80" s="55"/>
      <c r="I80" s="53">
        <f>ROUND(I79*D46,0)</f>
        <v>33247</v>
      </c>
      <c r="J80" s="53">
        <f>ROUND(J79*D46,0)</f>
        <v>22165</v>
      </c>
      <c r="K80" s="55"/>
      <c r="L80" s="55"/>
      <c r="M80" s="30"/>
      <c r="N80" s="30"/>
      <c r="O80" s="30"/>
      <c r="P80" s="30"/>
      <c r="Q80" s="30"/>
      <c r="R80" s="30"/>
      <c r="S80" s="30"/>
      <c r="T80" s="30"/>
      <c r="U80" s="242"/>
    </row>
    <row r="81" spans="1:21" x14ac:dyDescent="0.4">
      <c r="A81" s="53">
        <v>4</v>
      </c>
      <c r="B81" s="197" t="s">
        <v>116</v>
      </c>
      <c r="C81" s="197"/>
      <c r="D81" s="197">
        <f>+D79+D80</f>
        <v>67179</v>
      </c>
      <c r="E81" s="197"/>
      <c r="F81" s="55"/>
      <c r="G81" s="57">
        <f>+G79+G80</f>
        <v>67179.000000000029</v>
      </c>
      <c r="H81" s="55"/>
      <c r="I81" s="57">
        <f>+I79+I80</f>
        <v>50384.5</v>
      </c>
      <c r="J81" s="57">
        <f>+J79+J80</f>
        <v>33590</v>
      </c>
      <c r="K81" s="55"/>
      <c r="L81" s="55"/>
      <c r="M81" s="30"/>
      <c r="N81" s="30"/>
      <c r="O81" s="30"/>
      <c r="P81" s="30"/>
      <c r="Q81" s="30"/>
      <c r="R81" s="30"/>
      <c r="S81" s="30"/>
      <c r="T81" s="30"/>
      <c r="U81" s="242"/>
    </row>
    <row r="82" spans="1:21" x14ac:dyDescent="0.4">
      <c r="A82" s="216" t="s">
        <v>62</v>
      </c>
      <c r="B82" s="216"/>
      <c r="C82" s="216"/>
      <c r="D82" s="216"/>
      <c r="E82" s="216"/>
      <c r="F82" s="55"/>
      <c r="G82" s="55"/>
      <c r="H82" s="55"/>
      <c r="I82" s="54" t="s">
        <v>44</v>
      </c>
      <c r="J82" s="55"/>
      <c r="K82" s="55"/>
      <c r="L82" s="55"/>
      <c r="M82" s="30"/>
      <c r="N82" s="30"/>
      <c r="O82" s="30"/>
      <c r="P82" s="30"/>
      <c r="Q82" s="30"/>
      <c r="R82" s="30"/>
      <c r="S82" s="30"/>
      <c r="T82" s="30"/>
      <c r="U82" s="242"/>
    </row>
    <row r="83" spans="1:21" x14ac:dyDescent="0.4">
      <c r="A83" s="224" t="s">
        <v>74</v>
      </c>
      <c r="B83" s="224"/>
      <c r="C83" s="224"/>
      <c r="D83" s="197">
        <f>+ROUND(D78*30%,0)</f>
        <v>13710</v>
      </c>
      <c r="E83" s="197"/>
      <c r="F83" s="55"/>
      <c r="G83" s="55"/>
      <c r="H83" s="55"/>
      <c r="I83" s="55">
        <f>(7500*D46)+7500</f>
        <v>22050.000000000007</v>
      </c>
      <c r="J83" s="55"/>
      <c r="K83" s="55"/>
      <c r="L83" s="55"/>
      <c r="M83" s="30"/>
      <c r="N83" s="30"/>
      <c r="O83" s="30"/>
      <c r="P83" s="30"/>
      <c r="Q83" s="30"/>
      <c r="R83" s="30"/>
      <c r="S83" s="30"/>
      <c r="T83" s="30"/>
      <c r="U83" s="242"/>
    </row>
    <row r="84" spans="1:21" x14ac:dyDescent="0.4">
      <c r="A84" s="224" t="s">
        <v>19</v>
      </c>
      <c r="B84" s="224"/>
      <c r="C84" s="224"/>
      <c r="D84" s="197">
        <f>ROUND(D83*D46,0)</f>
        <v>26597</v>
      </c>
      <c r="E84" s="197"/>
      <c r="F84" s="55"/>
      <c r="G84" s="112">
        <f>+D62</f>
        <v>9807175</v>
      </c>
      <c r="H84" s="54" t="s">
        <v>82</v>
      </c>
      <c r="I84" s="55"/>
      <c r="J84" s="55"/>
      <c r="K84" s="55">
        <f>+K69</f>
        <v>719775</v>
      </c>
      <c r="L84" s="50" t="s">
        <v>84</v>
      </c>
      <c r="M84" s="30"/>
      <c r="N84" s="30"/>
      <c r="O84" s="30"/>
      <c r="P84" s="30"/>
      <c r="Q84" s="30"/>
      <c r="R84" s="30"/>
      <c r="S84" s="30"/>
      <c r="T84" s="30"/>
      <c r="U84" s="242"/>
    </row>
    <row r="85" spans="1:21" x14ac:dyDescent="0.4">
      <c r="A85" s="224" t="s">
        <v>21</v>
      </c>
      <c r="B85" s="224"/>
      <c r="C85" s="224"/>
      <c r="D85" s="197">
        <f>+D83+D84</f>
        <v>40307</v>
      </c>
      <c r="E85" s="197"/>
      <c r="F85" s="55"/>
      <c r="G85" s="45" t="s">
        <v>113</v>
      </c>
      <c r="H85" s="50"/>
      <c r="I85" s="115">
        <f>+I71</f>
        <v>1343580.0000000005</v>
      </c>
      <c r="J85" s="55"/>
      <c r="K85" s="55"/>
      <c r="L85" s="55"/>
      <c r="M85" s="30"/>
      <c r="N85" s="30"/>
      <c r="O85" s="30"/>
      <c r="P85" s="30"/>
      <c r="Q85" s="30"/>
      <c r="R85" s="30"/>
      <c r="S85" s="30"/>
      <c r="T85" s="30"/>
      <c r="U85" s="242"/>
    </row>
    <row r="86" spans="1:21" x14ac:dyDescent="0.4">
      <c r="A86" s="31"/>
      <c r="B86" s="5"/>
      <c r="C86" s="5"/>
      <c r="D86" s="32"/>
      <c r="E86" s="5"/>
      <c r="F86" s="5"/>
      <c r="G86" s="5"/>
      <c r="H86" s="5"/>
      <c r="I86" s="5"/>
      <c r="J86" s="5"/>
      <c r="K86" s="5"/>
      <c r="L86" s="5"/>
      <c r="M86" s="5"/>
      <c r="N86" s="30"/>
      <c r="O86" s="30"/>
      <c r="P86" s="30"/>
      <c r="Q86" s="30"/>
      <c r="R86" s="30"/>
      <c r="S86" s="30"/>
      <c r="T86" s="30"/>
      <c r="U86" s="242"/>
    </row>
    <row r="87" spans="1:21" x14ac:dyDescent="0.4">
      <c r="A87" s="263" t="s">
        <v>42</v>
      </c>
      <c r="B87" s="264"/>
      <c r="C87" s="264"/>
      <c r="D87" s="264"/>
      <c r="E87" s="264"/>
      <c r="F87" s="264"/>
      <c r="G87" s="264"/>
      <c r="H87" s="264"/>
      <c r="I87" s="264"/>
      <c r="J87" s="264"/>
      <c r="K87" s="264"/>
      <c r="L87" s="264"/>
      <c r="M87" s="30"/>
      <c r="N87" s="30"/>
      <c r="O87" s="30"/>
      <c r="P87" s="30"/>
      <c r="Q87" s="30"/>
      <c r="R87" s="30"/>
      <c r="S87" s="30"/>
      <c r="T87" s="30"/>
    </row>
    <row r="88" spans="1:21" x14ac:dyDescent="0.4">
      <c r="A88" s="265" t="s">
        <v>75</v>
      </c>
      <c r="B88" s="265"/>
      <c r="C88" s="265"/>
      <c r="D88" s="265"/>
      <c r="E88" s="265"/>
      <c r="F88" s="265"/>
      <c r="G88" s="265"/>
      <c r="H88" s="265"/>
      <c r="I88" s="265"/>
      <c r="J88" s="265"/>
      <c r="K88" s="265"/>
      <c r="L88" s="265"/>
      <c r="M88" s="30"/>
      <c r="N88" s="30"/>
      <c r="O88" s="30"/>
      <c r="P88" s="30"/>
      <c r="Q88" s="30"/>
      <c r="R88" s="30"/>
      <c r="S88" s="30"/>
      <c r="T88" s="30"/>
    </row>
    <row r="89" spans="1:21" ht="41.25" customHeight="1" x14ac:dyDescent="0.4">
      <c r="A89" s="266" t="s">
        <v>45</v>
      </c>
      <c r="B89" s="267"/>
      <c r="C89" s="267"/>
      <c r="D89" s="268"/>
      <c r="E89" s="269" t="s">
        <v>79</v>
      </c>
      <c r="F89" s="270"/>
      <c r="G89" s="270"/>
      <c r="H89" s="267" t="s">
        <v>48</v>
      </c>
      <c r="I89" s="267"/>
      <c r="J89" s="102" t="s">
        <v>52</v>
      </c>
      <c r="K89" s="103" t="s">
        <v>53</v>
      </c>
      <c r="L89" s="104" t="s">
        <v>54</v>
      </c>
      <c r="M89" s="30"/>
      <c r="N89" s="30"/>
      <c r="O89" s="30"/>
      <c r="P89" s="30"/>
      <c r="Q89" s="30"/>
      <c r="R89" s="30"/>
      <c r="S89" s="30"/>
      <c r="T89" s="30"/>
    </row>
    <row r="90" spans="1:21" x14ac:dyDescent="0.4">
      <c r="A90" s="261" t="s">
        <v>76</v>
      </c>
      <c r="B90" s="262"/>
      <c r="C90" s="262"/>
      <c r="D90" s="271"/>
      <c r="E90" s="272" t="s">
        <v>78</v>
      </c>
      <c r="F90" s="273"/>
      <c r="G90" s="273"/>
      <c r="H90" s="95"/>
      <c r="I90" s="95"/>
      <c r="J90" s="107" t="str">
        <f>+H7</f>
        <v xml:space="preserve">31 Years, 6 Months, 15 Days </v>
      </c>
      <c r="K90" s="95"/>
      <c r="L90" s="97"/>
      <c r="M90" s="30"/>
      <c r="N90" s="30"/>
      <c r="O90" s="30"/>
      <c r="P90" s="30"/>
      <c r="Q90" s="30"/>
      <c r="R90" s="30"/>
      <c r="S90" s="30"/>
      <c r="T90" s="30"/>
    </row>
    <row r="91" spans="1:21" x14ac:dyDescent="0.4">
      <c r="A91" s="261" t="s">
        <v>17</v>
      </c>
      <c r="B91" s="262"/>
      <c r="C91" s="262"/>
      <c r="D91" s="97">
        <f>+D78</f>
        <v>45700</v>
      </c>
      <c r="E91" s="105" t="s">
        <v>70</v>
      </c>
      <c r="F91" s="95">
        <f>+D91</f>
        <v>45700</v>
      </c>
      <c r="G91" s="95"/>
      <c r="H91" s="95">
        <f>+D91</f>
        <v>45700</v>
      </c>
      <c r="I91" s="95"/>
      <c r="J91" s="95">
        <f>+D91</f>
        <v>45700</v>
      </c>
      <c r="K91" s="95">
        <f>+D91</f>
        <v>45700</v>
      </c>
      <c r="L91" s="97">
        <f>+F91</f>
        <v>45700</v>
      </c>
      <c r="M91" s="30"/>
      <c r="N91" s="30"/>
      <c r="O91" s="30"/>
      <c r="P91" s="30"/>
      <c r="Q91" s="30"/>
      <c r="R91" s="30"/>
      <c r="S91" s="30"/>
      <c r="T91" s="30"/>
    </row>
    <row r="92" spans="1:21" x14ac:dyDescent="0.4">
      <c r="A92" s="261" t="s">
        <v>37</v>
      </c>
      <c r="B92" s="262"/>
      <c r="C92" s="262"/>
      <c r="D92" s="97">
        <f>+D91/2</f>
        <v>22850</v>
      </c>
      <c r="E92" s="105" t="s">
        <v>71</v>
      </c>
      <c r="F92" s="95">
        <f>+DATEDIF(H5, H6, "m")</f>
        <v>378</v>
      </c>
      <c r="G92" s="95"/>
      <c r="H92" s="95">
        <f>+H91/2</f>
        <v>22850</v>
      </c>
      <c r="I92" s="95"/>
      <c r="J92" s="95">
        <f>J91/2</f>
        <v>22850</v>
      </c>
      <c r="K92" s="95">
        <f>K91/2</f>
        <v>22850</v>
      </c>
      <c r="L92" s="97">
        <f>(F92*2)/12</f>
        <v>63</v>
      </c>
      <c r="M92" s="30"/>
      <c r="N92" s="30"/>
      <c r="O92" s="30"/>
      <c r="P92" s="30"/>
      <c r="Q92" s="30"/>
      <c r="R92" s="30"/>
      <c r="S92" s="30"/>
      <c r="T92" s="30"/>
    </row>
    <row r="93" spans="1:21" x14ac:dyDescent="0.4">
      <c r="A93" s="261" t="s">
        <v>19</v>
      </c>
      <c r="B93" s="262"/>
      <c r="C93" s="262"/>
      <c r="D93" s="97">
        <f>ROUND(D92*D46,0)</f>
        <v>44329</v>
      </c>
      <c r="E93" s="98" t="s">
        <v>72</v>
      </c>
      <c r="F93" s="95">
        <f>ROUND(T46*36%,0)</f>
        <v>3530583</v>
      </c>
      <c r="G93" s="106" t="s">
        <v>49</v>
      </c>
      <c r="H93" s="95">
        <f>300/300</f>
        <v>1</v>
      </c>
      <c r="I93" s="95"/>
      <c r="J93" s="95">
        <f>IF(F92&gt;300,300/300,F92/300)</f>
        <v>1</v>
      </c>
      <c r="K93" s="95">
        <f>+IF(F92&gt;300,300/300,F92/300)</f>
        <v>1</v>
      </c>
      <c r="L93" s="97"/>
      <c r="M93" s="30"/>
      <c r="N93" s="30"/>
      <c r="O93" s="30"/>
      <c r="P93" s="30"/>
      <c r="Q93" s="30"/>
      <c r="R93" s="30"/>
      <c r="S93" s="30"/>
      <c r="T93" s="30"/>
    </row>
    <row r="94" spans="1:21" x14ac:dyDescent="0.4">
      <c r="A94" s="261" t="s">
        <v>18</v>
      </c>
      <c r="B94" s="262"/>
      <c r="C94" s="262"/>
      <c r="D94" s="97">
        <f>+D92+D93</f>
        <v>67179</v>
      </c>
      <c r="E94" s="98" t="s">
        <v>73</v>
      </c>
      <c r="F94" s="95">
        <f>+F93</f>
        <v>3530583</v>
      </c>
      <c r="G94" s="108" t="s">
        <v>77</v>
      </c>
      <c r="H94" s="95">
        <f>+F93/F94</f>
        <v>1</v>
      </c>
      <c r="I94" s="95"/>
      <c r="J94" s="95">
        <f>+F93/F94</f>
        <v>1</v>
      </c>
      <c r="K94" s="95">
        <f>3750000/F94</f>
        <v>1.0621475263433831</v>
      </c>
      <c r="L94" s="97"/>
      <c r="M94" s="30"/>
      <c r="N94" s="30"/>
      <c r="O94" s="30"/>
      <c r="P94" s="30"/>
      <c r="Q94" s="30"/>
      <c r="R94" s="30"/>
      <c r="S94" s="30"/>
      <c r="T94" s="30"/>
    </row>
    <row r="95" spans="1:21" x14ac:dyDescent="0.4">
      <c r="A95" s="98"/>
      <c r="B95" s="95"/>
      <c r="C95" s="95"/>
      <c r="D95" s="97"/>
      <c r="E95" s="98" t="s">
        <v>18</v>
      </c>
      <c r="F95" s="95"/>
      <c r="G95" s="95"/>
      <c r="H95" s="95">
        <f>ROUND((H91/2)*H93*H94,0)</f>
        <v>22850</v>
      </c>
      <c r="I95" s="95"/>
      <c r="J95" s="95">
        <f>+ROUND((J92)*J93*J94,0)</f>
        <v>22850</v>
      </c>
      <c r="K95" s="95">
        <f>ROUND((K92)*K93*K94,0)</f>
        <v>24270</v>
      </c>
      <c r="L95" s="97"/>
      <c r="M95" s="30"/>
      <c r="N95" s="30"/>
      <c r="O95" s="30"/>
      <c r="P95" s="30"/>
      <c r="Q95" s="30"/>
      <c r="R95" s="30"/>
      <c r="S95" s="30"/>
      <c r="T95" s="30"/>
    </row>
    <row r="96" spans="1:21" x14ac:dyDescent="0.4">
      <c r="A96" s="98"/>
      <c r="B96" s="95"/>
      <c r="C96" s="95"/>
      <c r="D96" s="97"/>
      <c r="E96" s="98" t="s">
        <v>50</v>
      </c>
      <c r="F96" s="95"/>
      <c r="G96" s="95"/>
      <c r="H96" s="95">
        <f>ROUND(H95*D46,0)</f>
        <v>44329</v>
      </c>
      <c r="I96" s="95"/>
      <c r="J96" s="95">
        <f>ROUND(J95*D46,0)</f>
        <v>44329</v>
      </c>
      <c r="K96" s="95">
        <f>ROUND(K95*D46,0)</f>
        <v>47084</v>
      </c>
      <c r="L96" s="97">
        <f>ROUND(L91*D46,0)</f>
        <v>88658</v>
      </c>
      <c r="M96" s="30"/>
      <c r="N96" s="30"/>
      <c r="O96" s="30"/>
      <c r="P96" s="30"/>
      <c r="Q96" s="30"/>
      <c r="R96" s="30"/>
      <c r="S96" s="30"/>
      <c r="T96" s="30"/>
    </row>
    <row r="97" spans="1:20" x14ac:dyDescent="0.4">
      <c r="A97" s="274" t="s">
        <v>74</v>
      </c>
      <c r="B97" s="275"/>
      <c r="C97" s="275"/>
      <c r="D97" s="97">
        <f>ROUND(D91*30%,0)</f>
        <v>13710</v>
      </c>
      <c r="E97" s="109" t="s">
        <v>51</v>
      </c>
      <c r="F97" s="95"/>
      <c r="G97" s="95"/>
      <c r="H97" s="95">
        <f>SUM(H95:H96)</f>
        <v>67179</v>
      </c>
      <c r="I97" s="95"/>
      <c r="J97" s="95">
        <f>SUM(J95:J96)</f>
        <v>67179</v>
      </c>
      <c r="K97" s="95">
        <f>SUM(K95:K96)</f>
        <v>71354</v>
      </c>
      <c r="L97" s="97">
        <f>ROUND((L96/10)*L92,0)</f>
        <v>558545</v>
      </c>
      <c r="M97" s="30">
        <f>+K84</f>
        <v>719775</v>
      </c>
      <c r="N97" s="30"/>
      <c r="O97" s="30"/>
      <c r="P97" s="30"/>
      <c r="Q97" s="30"/>
      <c r="R97" s="30"/>
      <c r="S97" s="30"/>
      <c r="T97" s="30"/>
    </row>
    <row r="98" spans="1:20" x14ac:dyDescent="0.4">
      <c r="A98" s="261" t="s">
        <v>47</v>
      </c>
      <c r="B98" s="262"/>
      <c r="C98" s="262"/>
      <c r="D98" s="97">
        <f>+ROUND(D97*D46,0)</f>
        <v>26597</v>
      </c>
      <c r="E98" s="98"/>
      <c r="F98" s="95"/>
      <c r="G98" s="95"/>
      <c r="H98" s="95"/>
      <c r="I98" s="95"/>
      <c r="J98" s="95"/>
      <c r="K98" s="95"/>
      <c r="L98" s="110" t="s">
        <v>80</v>
      </c>
      <c r="M98" s="30">
        <f>+M97-L97</f>
        <v>161230</v>
      </c>
      <c r="N98" s="113" t="s">
        <v>85</v>
      </c>
      <c r="O98" s="30"/>
      <c r="P98" s="30"/>
      <c r="Q98" s="30"/>
      <c r="R98" s="30"/>
      <c r="S98" s="30"/>
      <c r="T98" s="30"/>
    </row>
    <row r="99" spans="1:20" x14ac:dyDescent="0.4">
      <c r="A99" s="98"/>
      <c r="B99" s="96"/>
      <c r="C99" s="96"/>
      <c r="D99" s="97">
        <f>+D97+D98</f>
        <v>40307</v>
      </c>
      <c r="E99" s="98"/>
      <c r="F99" s="112">
        <f>+G84</f>
        <v>9807175</v>
      </c>
      <c r="G99" s="107" t="s">
        <v>82</v>
      </c>
      <c r="H99" s="95"/>
      <c r="I99" s="95"/>
      <c r="J99" s="95" t="s">
        <v>83</v>
      </c>
      <c r="K99" s="95"/>
      <c r="L99" s="97"/>
      <c r="M99" s="30"/>
      <c r="N99" s="30"/>
      <c r="O99" s="30"/>
      <c r="P99" s="30"/>
      <c r="Q99" s="30"/>
      <c r="R99" s="30"/>
      <c r="S99" s="30"/>
      <c r="T99" s="30"/>
    </row>
    <row r="100" spans="1:20" x14ac:dyDescent="0.4">
      <c r="A100" s="99"/>
      <c r="B100" s="100" t="s">
        <v>46</v>
      </c>
      <c r="C100" s="100"/>
      <c r="D100" s="101"/>
      <c r="E100" s="99"/>
      <c r="F100" s="45" t="s">
        <v>113</v>
      </c>
      <c r="G100" s="50"/>
      <c r="H100" s="115">
        <f>+I85</f>
        <v>1343580.0000000005</v>
      </c>
      <c r="I100" s="100"/>
      <c r="J100" s="100"/>
      <c r="K100" s="100"/>
      <c r="L100" s="101"/>
      <c r="M100" s="30"/>
      <c r="N100" s="30"/>
      <c r="O100" s="30"/>
      <c r="P100" s="30"/>
      <c r="Q100" s="30"/>
      <c r="R100" s="30"/>
      <c r="S100" s="30"/>
      <c r="T100" s="30"/>
    </row>
  </sheetData>
  <mergeCells count="87">
    <mergeCell ref="A92:C92"/>
    <mergeCell ref="A93:C93"/>
    <mergeCell ref="A94:C94"/>
    <mergeCell ref="A97:C97"/>
    <mergeCell ref="A98:C98"/>
    <mergeCell ref="A91:C91"/>
    <mergeCell ref="A84:C84"/>
    <mergeCell ref="D84:E84"/>
    <mergeCell ref="A85:C85"/>
    <mergeCell ref="D85:E85"/>
    <mergeCell ref="A87:L87"/>
    <mergeCell ref="A88:L88"/>
    <mergeCell ref="A89:D89"/>
    <mergeCell ref="E89:G89"/>
    <mergeCell ref="H89:I89"/>
    <mergeCell ref="A90:D90"/>
    <mergeCell ref="E90:G90"/>
    <mergeCell ref="A83:C83"/>
    <mergeCell ref="D83:E83"/>
    <mergeCell ref="A75:L75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A82:E82"/>
    <mergeCell ref="A74:C74"/>
    <mergeCell ref="D74:E74"/>
    <mergeCell ref="B68:C68"/>
    <mergeCell ref="D68:E68"/>
    <mergeCell ref="B69:C69"/>
    <mergeCell ref="D69:E69"/>
    <mergeCell ref="B70:C70"/>
    <mergeCell ref="D70:E70"/>
    <mergeCell ref="A71:E71"/>
    <mergeCell ref="A72:C72"/>
    <mergeCell ref="D72:E72"/>
    <mergeCell ref="A73:C73"/>
    <mergeCell ref="D73:E73"/>
    <mergeCell ref="A60:C60"/>
    <mergeCell ref="D60:E60"/>
    <mergeCell ref="A62:C62"/>
    <mergeCell ref="D62:E62"/>
    <mergeCell ref="G62:J67"/>
    <mergeCell ref="A63:E63"/>
    <mergeCell ref="A64:E64"/>
    <mergeCell ref="B66:C66"/>
    <mergeCell ref="D66:E66"/>
    <mergeCell ref="B67:C67"/>
    <mergeCell ref="D67:E67"/>
    <mergeCell ref="B52:C52"/>
    <mergeCell ref="D52:E52"/>
    <mergeCell ref="B53:C53"/>
    <mergeCell ref="D53:E53"/>
    <mergeCell ref="A61:C61"/>
    <mergeCell ref="D61:E61"/>
    <mergeCell ref="A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L59"/>
    <mergeCell ref="U2:U86"/>
    <mergeCell ref="C3:D3"/>
    <mergeCell ref="H5:I5"/>
    <mergeCell ref="H6:I6"/>
    <mergeCell ref="C7:D7"/>
    <mergeCell ref="K8:L8"/>
    <mergeCell ref="D9:E9"/>
    <mergeCell ref="A47:M47"/>
    <mergeCell ref="A48:E48"/>
    <mergeCell ref="B49:C49"/>
    <mergeCell ref="D49:E49"/>
    <mergeCell ref="G49:J56"/>
    <mergeCell ref="B50:C50"/>
    <mergeCell ref="D50:E50"/>
    <mergeCell ref="B51:C51"/>
    <mergeCell ref="D51:E51"/>
  </mergeCells>
  <pageMargins left="0.31496062992125984" right="0.11811023622047245" top="0.15748031496062992" bottom="0.35433070866141736" header="0" footer="0"/>
  <pageSetup paperSize="9" orientation="landscape" r:id="rId1"/>
  <rowBreaks count="2" manualBreakCount="2">
    <brk id="46" max="16383" man="1"/>
    <brk id="7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37C1-9E74-4843-AFB1-6D89D4CA8C85}">
  <dimension ref="A1:J20"/>
  <sheetViews>
    <sheetView view="pageBreakPreview" zoomScale="130" zoomScaleNormal="130" zoomScaleSheetLayoutView="130" workbookViewId="0">
      <selection activeCell="C11" sqref="C11"/>
    </sheetView>
  </sheetViews>
  <sheetFormatPr defaultRowHeight="15" x14ac:dyDescent="0.25"/>
  <cols>
    <col min="1" max="1" width="5.42578125" style="116" customWidth="1"/>
    <col min="2" max="2" width="20.7109375" style="116" customWidth="1"/>
    <col min="3" max="3" width="30.140625" style="116" customWidth="1"/>
    <col min="4" max="4" width="13.42578125" style="116" customWidth="1"/>
    <col min="5" max="5" width="24" style="116" customWidth="1"/>
    <col min="6" max="6" width="11.42578125" style="116" customWidth="1"/>
    <col min="7" max="7" width="15.42578125" style="116" customWidth="1"/>
    <col min="8" max="8" width="9.42578125" style="116" customWidth="1"/>
    <col min="9" max="9" width="18.42578125" style="116" customWidth="1"/>
    <col min="10" max="10" width="10.140625" style="116" bestFit="1" customWidth="1"/>
    <col min="11" max="16384" width="9.140625" style="116"/>
  </cols>
  <sheetData>
    <row r="1" spans="1:10" x14ac:dyDescent="0.25">
      <c r="A1" s="280" t="s">
        <v>132</v>
      </c>
      <c r="B1" s="280"/>
      <c r="C1" s="280"/>
      <c r="D1" s="280"/>
      <c r="E1" s="280"/>
      <c r="F1" s="280"/>
      <c r="G1" s="280"/>
      <c r="H1" s="280"/>
      <c r="I1" s="280"/>
      <c r="J1" s="280"/>
    </row>
    <row r="2" spans="1:10" ht="43.5" customHeight="1" x14ac:dyDescent="0.25">
      <c r="A2" s="117" t="s">
        <v>89</v>
      </c>
      <c r="B2" s="117" t="s">
        <v>91</v>
      </c>
      <c r="C2" s="117" t="s">
        <v>130</v>
      </c>
      <c r="D2" s="117" t="s">
        <v>112</v>
      </c>
      <c r="E2" s="117" t="s">
        <v>40</v>
      </c>
      <c r="F2" s="117" t="s">
        <v>112</v>
      </c>
      <c r="G2" s="117" t="s">
        <v>41</v>
      </c>
      <c r="H2" s="117" t="s">
        <v>112</v>
      </c>
      <c r="I2" s="117" t="s">
        <v>42</v>
      </c>
      <c r="J2" s="117" t="s">
        <v>112</v>
      </c>
    </row>
    <row r="3" spans="1:10" ht="43.5" customHeight="1" x14ac:dyDescent="0.25">
      <c r="A3" s="119"/>
      <c r="B3" s="119" t="s">
        <v>135</v>
      </c>
      <c r="C3" s="119">
        <f>+Amol!C46</f>
        <v>45700</v>
      </c>
      <c r="D3" s="119" t="s">
        <v>133</v>
      </c>
      <c r="E3" s="119" t="str">
        <f>+Amol!H7</f>
        <v xml:space="preserve">31 Years, 6 Months, 15 Days </v>
      </c>
      <c r="F3" s="119" t="s">
        <v>134</v>
      </c>
      <c r="G3" s="120">
        <f>+Amol!H5</f>
        <v>42292</v>
      </c>
      <c r="H3" s="119" t="s">
        <v>136</v>
      </c>
      <c r="I3" s="120">
        <f>+Amol!H6</f>
        <v>53812</v>
      </c>
      <c r="J3" s="121" t="s">
        <v>137</v>
      </c>
    </row>
    <row r="4" spans="1:10" ht="30" x14ac:dyDescent="0.25">
      <c r="A4" s="122">
        <v>1</v>
      </c>
      <c r="B4" s="122" t="s">
        <v>90</v>
      </c>
      <c r="C4" s="123" t="s">
        <v>129</v>
      </c>
      <c r="D4" s="123">
        <f>+Amol!I57</f>
        <v>1343580.0000000005</v>
      </c>
      <c r="E4" s="124" t="s">
        <v>129</v>
      </c>
      <c r="F4" s="124">
        <f>+D4</f>
        <v>1343580.0000000005</v>
      </c>
      <c r="G4" s="125" t="s">
        <v>129</v>
      </c>
      <c r="H4" s="125">
        <f>+D4</f>
        <v>1343580.0000000005</v>
      </c>
      <c r="I4" s="126" t="s">
        <v>129</v>
      </c>
      <c r="J4" s="126">
        <f>+D4</f>
        <v>1343580.0000000005</v>
      </c>
    </row>
    <row r="5" spans="1:10" ht="62.25" customHeight="1" x14ac:dyDescent="0.25">
      <c r="A5" s="281">
        <v>2</v>
      </c>
      <c r="B5" s="281" t="s">
        <v>93</v>
      </c>
      <c r="C5" s="123" t="s">
        <v>115</v>
      </c>
      <c r="D5" s="123">
        <f>+Amol!D53</f>
        <v>67179</v>
      </c>
      <c r="E5" s="124" t="s">
        <v>92</v>
      </c>
      <c r="F5" s="124">
        <f>+D5</f>
        <v>67179</v>
      </c>
      <c r="G5" s="125" t="s">
        <v>92</v>
      </c>
      <c r="H5" s="125" t="s">
        <v>100</v>
      </c>
      <c r="I5" s="126" t="s">
        <v>92</v>
      </c>
      <c r="J5" s="126" t="s">
        <v>100</v>
      </c>
    </row>
    <row r="6" spans="1:10" ht="45" customHeight="1" x14ac:dyDescent="0.25">
      <c r="A6" s="281"/>
      <c r="B6" s="281"/>
      <c r="C6" s="127" t="s">
        <v>114</v>
      </c>
      <c r="D6" s="123">
        <f>+Amol!D57</f>
        <v>40307</v>
      </c>
      <c r="E6" s="124" t="s">
        <v>124</v>
      </c>
      <c r="F6" s="124">
        <f>+D6</f>
        <v>40307</v>
      </c>
      <c r="G6" s="125" t="s">
        <v>125</v>
      </c>
      <c r="H6" s="125">
        <f>+Amol!D74</f>
        <v>40307</v>
      </c>
      <c r="I6" s="126" t="s">
        <v>125</v>
      </c>
      <c r="J6" s="126">
        <f>+Amol!D85</f>
        <v>40307</v>
      </c>
    </row>
    <row r="7" spans="1:10" ht="77.25" customHeight="1" x14ac:dyDescent="0.25">
      <c r="A7" s="122">
        <v>3</v>
      </c>
      <c r="B7" s="122" t="s">
        <v>110</v>
      </c>
      <c r="C7" s="282" t="s">
        <v>109</v>
      </c>
      <c r="D7" s="282"/>
      <c r="E7" s="283" t="s">
        <v>108</v>
      </c>
      <c r="F7" s="283"/>
      <c r="G7" s="125" t="s">
        <v>111</v>
      </c>
      <c r="H7" s="125"/>
      <c r="I7" s="126" t="s">
        <v>111</v>
      </c>
      <c r="J7" s="126"/>
    </row>
    <row r="8" spans="1:10" ht="48" x14ac:dyDescent="0.25">
      <c r="A8" s="122">
        <v>4</v>
      </c>
      <c r="B8" s="122" t="s">
        <v>94</v>
      </c>
      <c r="C8" s="123" t="s">
        <v>92</v>
      </c>
      <c r="D8" s="123">
        <f>+Amol!D81</f>
        <v>67179</v>
      </c>
      <c r="E8" s="124" t="s">
        <v>120</v>
      </c>
      <c r="F8" s="124">
        <f>+Amol!F63</f>
        <v>65381</v>
      </c>
      <c r="G8" s="128" t="s">
        <v>117</v>
      </c>
      <c r="H8" s="125">
        <f>+Amol!D81</f>
        <v>67179</v>
      </c>
      <c r="I8" s="126" t="s">
        <v>118</v>
      </c>
      <c r="J8" s="126">
        <f>+Amol!D94</f>
        <v>67179</v>
      </c>
    </row>
    <row r="9" spans="1:10" ht="30" x14ac:dyDescent="0.25">
      <c r="A9" s="122">
        <v>5</v>
      </c>
      <c r="B9" s="122" t="s">
        <v>138</v>
      </c>
      <c r="C9" s="123" t="s">
        <v>96</v>
      </c>
      <c r="D9" s="127">
        <v>0</v>
      </c>
      <c r="E9" s="124" t="s">
        <v>97</v>
      </c>
      <c r="F9" s="129">
        <v>0.1</v>
      </c>
      <c r="G9" s="125" t="s">
        <v>97</v>
      </c>
      <c r="H9" s="130">
        <v>0.1</v>
      </c>
      <c r="I9" s="126" t="s">
        <v>97</v>
      </c>
      <c r="J9" s="131">
        <v>0.1</v>
      </c>
    </row>
    <row r="10" spans="1:10" x14ac:dyDescent="0.25">
      <c r="A10" s="122">
        <v>6</v>
      </c>
      <c r="B10" s="122" t="s">
        <v>98</v>
      </c>
      <c r="C10" s="123" t="s">
        <v>99</v>
      </c>
      <c r="D10" s="123"/>
      <c r="E10" s="124" t="s">
        <v>100</v>
      </c>
      <c r="F10" s="124"/>
      <c r="G10" s="125" t="s">
        <v>101</v>
      </c>
      <c r="H10" s="125"/>
      <c r="I10" s="126" t="s">
        <v>102</v>
      </c>
      <c r="J10" s="126"/>
    </row>
    <row r="11" spans="1:10" ht="46.5" customHeight="1" x14ac:dyDescent="0.25">
      <c r="A11" s="122">
        <v>7</v>
      </c>
      <c r="B11" s="122" t="s">
        <v>139</v>
      </c>
      <c r="C11" s="123" t="s">
        <v>97</v>
      </c>
      <c r="D11" s="123"/>
      <c r="E11" s="124" t="s">
        <v>100</v>
      </c>
      <c r="F11" s="124"/>
      <c r="G11" s="125" t="s">
        <v>97</v>
      </c>
      <c r="H11" s="125"/>
      <c r="I11" s="126" t="s">
        <v>126</v>
      </c>
      <c r="J11" s="126"/>
    </row>
    <row r="12" spans="1:10" ht="45" x14ac:dyDescent="0.25">
      <c r="A12" s="122">
        <v>8</v>
      </c>
      <c r="B12" s="122" t="s">
        <v>103</v>
      </c>
      <c r="C12" s="123" t="s">
        <v>105</v>
      </c>
      <c r="D12" s="123"/>
      <c r="E12" s="124" t="s">
        <v>100</v>
      </c>
      <c r="F12" s="124"/>
      <c r="G12" s="125" t="s">
        <v>104</v>
      </c>
      <c r="H12" s="125"/>
      <c r="I12" s="126" t="s">
        <v>127</v>
      </c>
      <c r="J12" s="126"/>
    </row>
    <row r="13" spans="1:10" ht="23.25" customHeight="1" x14ac:dyDescent="0.25">
      <c r="A13" s="122">
        <v>9</v>
      </c>
      <c r="B13" s="122" t="s">
        <v>106</v>
      </c>
      <c r="C13" s="123" t="s">
        <v>107</v>
      </c>
      <c r="D13" s="123"/>
      <c r="E13" s="124" t="s">
        <v>107</v>
      </c>
      <c r="F13" s="124"/>
      <c r="G13" s="125" t="s">
        <v>119</v>
      </c>
      <c r="H13" s="125"/>
      <c r="I13" s="126" t="s">
        <v>119</v>
      </c>
      <c r="J13" s="126"/>
    </row>
    <row r="14" spans="1:10" ht="90" x14ac:dyDescent="0.25">
      <c r="A14" s="122">
        <v>10</v>
      </c>
      <c r="B14" s="122" t="s">
        <v>140</v>
      </c>
      <c r="C14" s="123" t="s">
        <v>95</v>
      </c>
      <c r="D14" s="123">
        <v>0</v>
      </c>
      <c r="E14" s="124" t="s">
        <v>92</v>
      </c>
      <c r="F14" s="124">
        <f>+Amol!H72</f>
        <v>3922870</v>
      </c>
      <c r="G14" s="125" t="s">
        <v>121</v>
      </c>
      <c r="H14" s="125">
        <v>0</v>
      </c>
      <c r="I14" s="126" t="s">
        <v>121</v>
      </c>
      <c r="J14" s="126">
        <v>0</v>
      </c>
    </row>
    <row r="15" spans="1:10" ht="37.5" customHeight="1" x14ac:dyDescent="0.25">
      <c r="A15" s="122">
        <v>11</v>
      </c>
      <c r="B15" s="122" t="s">
        <v>122</v>
      </c>
      <c r="C15" s="123" t="s">
        <v>92</v>
      </c>
      <c r="D15" s="123">
        <f>+Amol!K69</f>
        <v>719775</v>
      </c>
      <c r="E15" s="124" t="s">
        <v>92</v>
      </c>
      <c r="F15" s="124">
        <f>+Amol!K84</f>
        <v>719775</v>
      </c>
      <c r="G15" s="125" t="s">
        <v>123</v>
      </c>
      <c r="H15" s="125">
        <v>0</v>
      </c>
      <c r="I15" s="126" t="s">
        <v>128</v>
      </c>
      <c r="J15" s="126">
        <f>+Amol!L97</f>
        <v>558545</v>
      </c>
    </row>
    <row r="16" spans="1:10" ht="27" customHeight="1" x14ac:dyDescent="0.25">
      <c r="A16" s="122"/>
      <c r="B16" s="122"/>
      <c r="C16" s="123"/>
      <c r="D16" s="123"/>
      <c r="E16" s="124"/>
      <c r="F16" s="124"/>
      <c r="G16" s="277" t="s">
        <v>85</v>
      </c>
      <c r="H16" s="278"/>
      <c r="I16" s="279"/>
      <c r="J16" s="132">
        <f>+Amol!M98</f>
        <v>161230</v>
      </c>
    </row>
    <row r="17" spans="1:10" x14ac:dyDescent="0.25">
      <c r="A17" s="122">
        <v>12</v>
      </c>
      <c r="B17" s="122" t="s">
        <v>141</v>
      </c>
      <c r="C17" s="123" t="s">
        <v>97</v>
      </c>
      <c r="D17" s="123"/>
      <c r="E17" s="124" t="s">
        <v>97</v>
      </c>
      <c r="F17" s="124"/>
      <c r="G17" s="125" t="s">
        <v>97</v>
      </c>
      <c r="H17" s="125"/>
      <c r="I17" s="126" t="s">
        <v>97</v>
      </c>
      <c r="J17" s="126"/>
    </row>
    <row r="18" spans="1:10" ht="62.25" customHeight="1" x14ac:dyDescent="0.25">
      <c r="A18" s="122">
        <v>13</v>
      </c>
      <c r="B18" s="122" t="s">
        <v>142</v>
      </c>
      <c r="C18" s="123" t="s">
        <v>97</v>
      </c>
      <c r="D18" s="123"/>
      <c r="E18" s="124" t="s">
        <v>97</v>
      </c>
      <c r="F18" s="124"/>
      <c r="G18" s="125" t="s">
        <v>97</v>
      </c>
      <c r="H18" s="125"/>
      <c r="I18" s="126" t="s">
        <v>97</v>
      </c>
      <c r="J18" s="126"/>
    </row>
    <row r="19" spans="1:10" ht="62.25" customHeight="1" x14ac:dyDescent="0.25">
      <c r="A19" s="133">
        <v>14</v>
      </c>
      <c r="B19" s="133" t="s">
        <v>143</v>
      </c>
      <c r="C19" s="123" t="s">
        <v>97</v>
      </c>
      <c r="D19" s="123"/>
      <c r="E19" s="124" t="s">
        <v>97</v>
      </c>
      <c r="F19" s="124"/>
      <c r="G19" s="125" t="s">
        <v>97</v>
      </c>
      <c r="H19" s="125"/>
      <c r="I19" s="126" t="s">
        <v>97</v>
      </c>
      <c r="J19" s="134"/>
    </row>
    <row r="20" spans="1:10" ht="53.25" customHeight="1" x14ac:dyDescent="0.25">
      <c r="A20" s="118"/>
      <c r="B20" s="276" t="s">
        <v>131</v>
      </c>
      <c r="C20" s="276"/>
      <c r="D20" s="276"/>
      <c r="E20" s="276"/>
      <c r="F20" s="276"/>
      <c r="G20" s="276"/>
      <c r="H20" s="276"/>
      <c r="I20" s="276"/>
      <c r="J20" s="276"/>
    </row>
  </sheetData>
  <mergeCells count="7">
    <mergeCell ref="B20:J20"/>
    <mergeCell ref="G16:I16"/>
    <mergeCell ref="A1:J1"/>
    <mergeCell ref="B5:B6"/>
    <mergeCell ref="A5:A6"/>
    <mergeCell ref="C7:D7"/>
    <mergeCell ref="E7:F7"/>
  </mergeCells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9F4DE-A6D5-48D0-A12F-989822F44AF7}">
  <dimension ref="A1:V100"/>
  <sheetViews>
    <sheetView view="pageBreakPreview" zoomScale="130" zoomScaleNormal="175" zoomScaleSheetLayoutView="130" workbookViewId="0">
      <pane ySplit="2" topLeftCell="A3" activePane="bottomLeft" state="frozen"/>
      <selection pane="bottomLeft" activeCell="K19" sqref="K19"/>
    </sheetView>
  </sheetViews>
  <sheetFormatPr defaultRowHeight="18" x14ac:dyDescent="0.4"/>
  <cols>
    <col min="1" max="1" width="14.85546875" style="1" customWidth="1"/>
    <col min="2" max="2" width="9.140625" style="1" customWidth="1"/>
    <col min="3" max="3" width="10.7109375" style="1" customWidth="1"/>
    <col min="4" max="4" width="11.7109375" style="1" customWidth="1"/>
    <col min="5" max="5" width="10.28515625" style="1" customWidth="1"/>
    <col min="6" max="6" width="11.42578125" style="1" customWidth="1"/>
    <col min="7" max="7" width="9.7109375" style="1" customWidth="1"/>
    <col min="8" max="8" width="11" style="1" customWidth="1"/>
    <col min="9" max="9" width="15.140625" style="1" customWidth="1"/>
    <col min="10" max="10" width="12.28515625" style="1" customWidth="1"/>
    <col min="11" max="11" width="12.5703125" style="1" customWidth="1"/>
    <col min="12" max="12" width="11.85546875" style="1" customWidth="1"/>
    <col min="13" max="13" width="14.5703125" style="1" customWidth="1"/>
    <col min="14" max="14" width="13.140625" style="8" customWidth="1"/>
    <col min="15" max="15" width="11.7109375" style="8" customWidth="1"/>
    <col min="16" max="16" width="8.85546875" style="1" customWidth="1"/>
    <col min="17" max="17" width="9" style="1" bestFit="1" customWidth="1"/>
    <col min="18" max="18" width="9.5703125" style="1" bestFit="1" customWidth="1"/>
    <col min="19" max="19" width="10.7109375" style="1" bestFit="1" customWidth="1"/>
    <col min="20" max="20" width="13" style="1" customWidth="1"/>
    <col min="21" max="21" width="9.140625" style="1"/>
    <col min="22" max="22" width="12.42578125" style="1" bestFit="1" customWidth="1"/>
    <col min="23" max="16384" width="9.140625" style="1"/>
  </cols>
  <sheetData>
    <row r="1" spans="1:21" ht="3" customHeight="1" x14ac:dyDescent="0.4"/>
    <row r="2" spans="1:21" s="4" customFormat="1" ht="59.25" customHeight="1" x14ac:dyDescent="0.25">
      <c r="A2" s="6" t="s">
        <v>0</v>
      </c>
      <c r="B2" s="7" t="s">
        <v>34</v>
      </c>
      <c r="C2" s="7" t="s">
        <v>12</v>
      </c>
      <c r="D2" s="7" t="s">
        <v>3</v>
      </c>
      <c r="E2" s="7" t="s">
        <v>1</v>
      </c>
      <c r="F2" s="7" t="s">
        <v>2</v>
      </c>
      <c r="G2" s="7" t="s">
        <v>14</v>
      </c>
      <c r="H2" s="7" t="s">
        <v>13</v>
      </c>
      <c r="I2" s="7" t="s">
        <v>4</v>
      </c>
      <c r="J2" s="7" t="s">
        <v>15</v>
      </c>
      <c r="K2" s="7" t="s">
        <v>11</v>
      </c>
      <c r="L2" s="7" t="s">
        <v>20</v>
      </c>
      <c r="M2" s="7" t="s">
        <v>6</v>
      </c>
      <c r="N2" s="15" t="s">
        <v>5</v>
      </c>
      <c r="O2" s="15" t="s">
        <v>7</v>
      </c>
      <c r="P2" s="19" t="s">
        <v>9</v>
      </c>
      <c r="Q2" s="19" t="s">
        <v>8</v>
      </c>
      <c r="R2" s="19" t="s">
        <v>10</v>
      </c>
      <c r="S2" s="19" t="s">
        <v>16</v>
      </c>
      <c r="T2" s="19" t="s">
        <v>33</v>
      </c>
      <c r="U2" s="242"/>
    </row>
    <row r="3" spans="1:21" ht="18.75" customHeight="1" x14ac:dyDescent="0.4">
      <c r="A3" s="10" t="s">
        <v>166</v>
      </c>
      <c r="B3" s="11"/>
      <c r="C3" s="243">
        <v>23100</v>
      </c>
      <c r="D3" s="244"/>
      <c r="E3" s="2"/>
      <c r="F3" s="9"/>
      <c r="G3" s="3">
        <v>0.14000000000000001</v>
      </c>
      <c r="H3" s="3">
        <v>0.1</v>
      </c>
      <c r="I3" s="2"/>
      <c r="J3" s="3"/>
      <c r="K3" s="3"/>
      <c r="L3" s="3"/>
      <c r="M3" s="3"/>
      <c r="N3" s="16">
        <v>0.06</v>
      </c>
      <c r="O3" s="17"/>
      <c r="P3" s="20"/>
      <c r="Q3" s="21">
        <v>0.04</v>
      </c>
      <c r="R3" s="20"/>
      <c r="S3" s="20"/>
      <c r="T3" s="20"/>
      <c r="U3" s="242"/>
    </row>
    <row r="4" spans="1:21" x14ac:dyDescent="0.4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7">
        <v>14</v>
      </c>
      <c r="O4" s="17">
        <v>15</v>
      </c>
      <c r="P4" s="20">
        <v>16</v>
      </c>
      <c r="Q4" s="20">
        <v>17</v>
      </c>
      <c r="R4" s="20">
        <v>18</v>
      </c>
      <c r="S4" s="20">
        <v>19</v>
      </c>
      <c r="T4" s="20">
        <v>20</v>
      </c>
      <c r="U4" s="242"/>
    </row>
    <row r="5" spans="1:21" x14ac:dyDescent="0.4">
      <c r="A5" s="64" t="s">
        <v>24</v>
      </c>
      <c r="B5" s="65"/>
      <c r="C5" s="66" t="s">
        <v>87</v>
      </c>
      <c r="D5" s="65"/>
      <c r="E5" s="65"/>
      <c r="F5" s="67" t="s">
        <v>25</v>
      </c>
      <c r="G5" s="68"/>
      <c r="H5" s="245">
        <v>42292</v>
      </c>
      <c r="I5" s="245"/>
      <c r="J5" s="69"/>
      <c r="K5" s="70" t="s">
        <v>29</v>
      </c>
      <c r="L5" s="71">
        <f ca="1">TODAY()</f>
        <v>46229</v>
      </c>
      <c r="M5" s="69"/>
      <c r="N5" s="72"/>
      <c r="O5" s="73"/>
      <c r="P5" s="74"/>
      <c r="Q5" s="74"/>
      <c r="R5" s="74"/>
      <c r="S5" s="74"/>
      <c r="T5" s="75"/>
      <c r="U5" s="242"/>
    </row>
    <row r="6" spans="1:21" x14ac:dyDescent="0.4">
      <c r="A6" s="76" t="s">
        <v>22</v>
      </c>
      <c r="B6" s="77"/>
      <c r="C6" s="78" t="s">
        <v>88</v>
      </c>
      <c r="D6" s="77"/>
      <c r="E6" s="77"/>
      <c r="F6" s="79" t="s">
        <v>27</v>
      </c>
      <c r="G6" s="80"/>
      <c r="H6" s="246">
        <f>EOMONTH(C7-1,12*58)</f>
        <v>53812</v>
      </c>
      <c r="I6" s="246"/>
      <c r="J6" s="81"/>
      <c r="K6" s="82" t="s">
        <v>30</v>
      </c>
      <c r="L6" s="83" t="str">
        <f ca="1">+DATEDIF(H5,L5,"Y")&amp;" Years, "&amp;DATEDIF(H5,L5,"Ym")&amp;" Months, "&amp;DATEDIF(H5,L5,"md")&amp;" Days "</f>
        <v xml:space="preserve">10 Years, 9 Months, 11 Days </v>
      </c>
      <c r="M6" s="81"/>
      <c r="N6" s="33"/>
      <c r="O6" s="33"/>
      <c r="P6" s="84"/>
      <c r="Q6" s="84"/>
      <c r="R6" s="84"/>
      <c r="S6" s="84"/>
      <c r="T6" s="85"/>
      <c r="U6" s="242"/>
    </row>
    <row r="7" spans="1:21" x14ac:dyDescent="0.4">
      <c r="A7" s="76" t="s">
        <v>26</v>
      </c>
      <c r="B7" s="77"/>
      <c r="C7" s="247">
        <v>32628</v>
      </c>
      <c r="D7" s="247"/>
      <c r="E7" s="77"/>
      <c r="F7" s="86" t="s">
        <v>28</v>
      </c>
      <c r="G7" s="80"/>
      <c r="H7" s="87" t="str">
        <f>+DATEDIF(H5,H6,"Y")&amp;" Years, "&amp;DATEDIF(H5,H6,"Ym")&amp;" Months, "&amp;DATEDIF(H5,H6,"md")&amp;" Days "</f>
        <v xml:space="preserve">31 Years, 6 Months, 15 Days </v>
      </c>
      <c r="I7" s="80"/>
      <c r="J7" s="81"/>
      <c r="K7" s="81"/>
      <c r="L7" s="81"/>
      <c r="M7" s="81"/>
      <c r="N7" s="33"/>
      <c r="O7" s="33"/>
      <c r="P7" s="84"/>
      <c r="Q7" s="84"/>
      <c r="R7" s="84"/>
      <c r="S7" s="84"/>
      <c r="T7" s="85"/>
      <c r="U7" s="242"/>
    </row>
    <row r="8" spans="1:21" x14ac:dyDescent="0.4">
      <c r="A8" s="88" t="s">
        <v>31</v>
      </c>
      <c r="B8" s="89"/>
      <c r="C8" s="89"/>
      <c r="D8" s="89"/>
      <c r="E8" s="89"/>
      <c r="F8" s="89"/>
      <c r="G8" s="89"/>
      <c r="H8" s="89"/>
      <c r="I8" s="89"/>
      <c r="J8" s="89"/>
      <c r="K8" s="248">
        <f>811709-20000</f>
        <v>791709</v>
      </c>
      <c r="L8" s="248"/>
      <c r="M8" s="89"/>
      <c r="N8" s="89"/>
      <c r="O8" s="89"/>
      <c r="P8" s="89"/>
      <c r="Q8" s="89"/>
      <c r="R8" s="89"/>
      <c r="S8" s="89"/>
      <c r="T8" s="89"/>
      <c r="U8" s="242"/>
    </row>
    <row r="9" spans="1:21" x14ac:dyDescent="0.4">
      <c r="A9" s="90"/>
      <c r="B9" s="29"/>
      <c r="C9" s="29"/>
      <c r="D9" s="249"/>
      <c r="E9" s="249"/>
      <c r="F9" s="29"/>
      <c r="G9" s="91">
        <f>ROUND(K8*64%,0)</f>
        <v>506694</v>
      </c>
      <c r="H9" s="91">
        <f>ROUND(K8*36%,0)</f>
        <v>285015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42"/>
    </row>
    <row r="10" spans="1:21" x14ac:dyDescent="0.4">
      <c r="A10" s="58">
        <v>45658</v>
      </c>
      <c r="B10" s="59">
        <v>1</v>
      </c>
      <c r="C10" s="135">
        <f>+C3</f>
        <v>23100</v>
      </c>
      <c r="D10" s="60">
        <v>0.56000000000000005</v>
      </c>
      <c r="E10" s="59">
        <f>ROUND(C10*D10,0)</f>
        <v>12936</v>
      </c>
      <c r="F10" s="59">
        <f>+C10+E10</f>
        <v>36036</v>
      </c>
      <c r="G10" s="59">
        <f>ROUND(F10*$G$3,0)</f>
        <v>5045</v>
      </c>
      <c r="H10" s="59">
        <f>ROUND(F10*$H$3,0)</f>
        <v>3604</v>
      </c>
      <c r="I10" s="59">
        <f>+G10+H10</f>
        <v>8649</v>
      </c>
      <c r="J10" s="59">
        <f>+G10*12+G9</f>
        <v>567234</v>
      </c>
      <c r="K10" s="59">
        <f>+H10*12+H9</f>
        <v>328263</v>
      </c>
      <c r="L10" s="59">
        <f>+J10+K10</f>
        <v>895497</v>
      </c>
      <c r="M10" s="59">
        <f>+L10</f>
        <v>895497</v>
      </c>
      <c r="N10" s="61">
        <f>ROUND(M10*$N$3,0)</f>
        <v>53730</v>
      </c>
      <c r="O10" s="61">
        <f>+M10+N10</f>
        <v>949227</v>
      </c>
      <c r="P10" s="62">
        <f>+A10</f>
        <v>45658</v>
      </c>
      <c r="Q10" s="63">
        <v>40</v>
      </c>
      <c r="R10" s="25">
        <f>+M10/Q10</f>
        <v>22387.424999999999</v>
      </c>
      <c r="S10" s="63">
        <f>+R10</f>
        <v>22387.424999999999</v>
      </c>
      <c r="T10" s="25">
        <f>ROUND(Q10*S10,0)</f>
        <v>895497</v>
      </c>
      <c r="U10" s="242"/>
    </row>
    <row r="11" spans="1:21" s="5" customFormat="1" x14ac:dyDescent="0.4">
      <c r="A11" s="12">
        <f>+IF($H$6&lt;=A10,"",DATE(YEAR(A10)+1,MONTH(A10),1))</f>
        <v>46023</v>
      </c>
      <c r="B11" s="13">
        <f>IF(OR(A11=0,A11=""),0,(B10+1))</f>
        <v>2</v>
      </c>
      <c r="C11" s="36">
        <f>+IF($H$6&lt;A10,"",IF(CEILING(C10*3%,100)-ROUND(C10*3%,0)&lt;=50,CEILING(C10*3%,100),CEILING(C10*3%,100)-100)+C10)</f>
        <v>23800</v>
      </c>
      <c r="D11" s="14">
        <f>IF(OR(A11=0, A11=""), 0, (D10+6%))</f>
        <v>0.62000000000000011</v>
      </c>
      <c r="E11" s="13">
        <f>IF(OR(A11=0,A11=""),0,ROUND(C11*D11,0))</f>
        <v>14756</v>
      </c>
      <c r="F11" s="13">
        <f>IF(OR(A11=0,A11=""),0,(C11+E11))</f>
        <v>38556</v>
      </c>
      <c r="G11" s="13">
        <f>ROUND(F11*$G$3,0)</f>
        <v>5398</v>
      </c>
      <c r="H11" s="13">
        <f t="shared" ref="H11" si="0">ROUND(F11*$H$3,0)</f>
        <v>3856</v>
      </c>
      <c r="I11" s="13">
        <f>+G11+H11</f>
        <v>9254</v>
      </c>
      <c r="J11" s="13">
        <f>+G11*12</f>
        <v>64776</v>
      </c>
      <c r="K11" s="13">
        <f>+H11*12</f>
        <v>46272</v>
      </c>
      <c r="L11" s="13">
        <f>+J11+K11</f>
        <v>111048</v>
      </c>
      <c r="M11" s="13">
        <f>IF(OR(A11=0,A11=""),0,(L11+M10))</f>
        <v>1006545</v>
      </c>
      <c r="N11" s="18">
        <f>ROUND(M11*$N$3,0)</f>
        <v>60393</v>
      </c>
      <c r="O11" s="18">
        <f>+M11+N11</f>
        <v>1066938</v>
      </c>
      <c r="P11" s="22">
        <f t="shared" ref="P11:P42" si="1">+A11</f>
        <v>46023</v>
      </c>
      <c r="Q11" s="23">
        <f>IF(OR(A11=0,A11=""),0,(Q10*$Q$3+Q10))</f>
        <v>41.6</v>
      </c>
      <c r="R11" s="23">
        <f>IF(OR(A11=0,A11=""),0,(L11/Q11))</f>
        <v>2669.4230769230767</v>
      </c>
      <c r="S11" s="23">
        <f>IF(OR(A11=0,A11=""),0,(S10+R11))</f>
        <v>25056.848076923077</v>
      </c>
      <c r="T11" s="24">
        <f>ROUND(Q11*S11,0)</f>
        <v>1042365</v>
      </c>
      <c r="U11" s="242"/>
    </row>
    <row r="12" spans="1:21" x14ac:dyDescent="0.4">
      <c r="A12" s="12">
        <f t="shared" ref="A12:A45" si="2">+IF($H$6&lt;=A11,"",DATE(YEAR(A11)+1,MONTH(A11),1))</f>
        <v>46388</v>
      </c>
      <c r="B12" s="13">
        <f t="shared" ref="B12:B45" si="3">IF(OR(A12=0,A12=""),0,(B11+1))</f>
        <v>3</v>
      </c>
      <c r="C12" s="36">
        <f>+IF($H$6&lt;A11,"",IF(CEILING(C11*3%,100)-ROUND(C11*3%,0)&lt;=50,CEILING(C11*3%,100),CEILING(C11*3%,100)-100)+C11)</f>
        <v>24500</v>
      </c>
      <c r="D12" s="14">
        <f t="shared" ref="D12:D45" si="4">IF(OR(A12=0, A12=""), 0, (D11+6%))</f>
        <v>0.68000000000000016</v>
      </c>
      <c r="E12" s="13">
        <f t="shared" ref="E12:E45" si="5">IF(OR(A12=0,A12=""),0,ROUND(C12*D12,0))</f>
        <v>16660</v>
      </c>
      <c r="F12" s="13">
        <f t="shared" ref="F12:F45" si="6">IF(OR(A12=0,A12=""),0,(C12+E12))</f>
        <v>41160</v>
      </c>
      <c r="G12" s="13">
        <f>ROUND(F12*$G$3,0)</f>
        <v>5762</v>
      </c>
      <c r="H12" s="13">
        <f>ROUND(F12*$H$3,0)</f>
        <v>4116</v>
      </c>
      <c r="I12" s="13">
        <f>+G12+H12</f>
        <v>9878</v>
      </c>
      <c r="J12" s="13">
        <f t="shared" ref="J12:K27" si="7">+G12*12</f>
        <v>69144</v>
      </c>
      <c r="K12" s="13">
        <f t="shared" si="7"/>
        <v>49392</v>
      </c>
      <c r="L12" s="13">
        <f t="shared" ref="L12:L45" si="8">+J12+K12</f>
        <v>118536</v>
      </c>
      <c r="M12" s="13">
        <f t="shared" ref="M12:M45" si="9">IF(OR(A12=0,A12=""),0,(L12+M11))</f>
        <v>1125081</v>
      </c>
      <c r="N12" s="18">
        <f>ROUND(M12*$N$3,0)</f>
        <v>67505</v>
      </c>
      <c r="O12" s="18">
        <f t="shared" ref="O12:O45" si="10">+M12+N12</f>
        <v>1192586</v>
      </c>
      <c r="P12" s="22">
        <f t="shared" si="1"/>
        <v>46388</v>
      </c>
      <c r="Q12" s="23">
        <f t="shared" ref="Q12:Q45" si="11">IF(OR(A12=0,A12=""),0,(Q11*$Q$3+Q11))</f>
        <v>43.264000000000003</v>
      </c>
      <c r="R12" s="23">
        <f t="shared" ref="R12:R45" si="12">IF(OR(A12=0,A12=""),0,(L12/Q12))</f>
        <v>2739.8298816568044</v>
      </c>
      <c r="S12" s="23">
        <f t="shared" ref="S12:S15" si="13">IF(OR(A12=0,A12=""),0,(S11+R12))</f>
        <v>27796.677958579883</v>
      </c>
      <c r="T12" s="24">
        <f t="shared" ref="T12:T45" si="14">ROUND(Q12*S12,0)</f>
        <v>1202595</v>
      </c>
      <c r="U12" s="242"/>
    </row>
    <row r="13" spans="1:21" s="5" customFormat="1" x14ac:dyDescent="0.4">
      <c r="A13" s="12">
        <f t="shared" si="2"/>
        <v>46753</v>
      </c>
      <c r="B13" s="13">
        <f t="shared" si="3"/>
        <v>4</v>
      </c>
      <c r="C13" s="36">
        <f>+IF($H$6&lt;A12,"",IF(CEILING(C12*3%,100)-ROUND(C12*3%,0)&lt;=50,CEILING(C12*3%,100),CEILING(C12*3%,100)-100)+C12)</f>
        <v>25200</v>
      </c>
      <c r="D13" s="14">
        <f t="shared" si="4"/>
        <v>0.74000000000000021</v>
      </c>
      <c r="E13" s="13">
        <f t="shared" si="5"/>
        <v>18648</v>
      </c>
      <c r="F13" s="13">
        <f t="shared" si="6"/>
        <v>43848</v>
      </c>
      <c r="G13" s="13">
        <f t="shared" ref="G13:G45" si="15">ROUND(F13*$G$3,0)</f>
        <v>6139</v>
      </c>
      <c r="H13" s="13">
        <f t="shared" ref="H13:H45" si="16">ROUND(F13*$H$3,0)</f>
        <v>4385</v>
      </c>
      <c r="I13" s="13">
        <f t="shared" ref="I13:I45" si="17">+G13+H13</f>
        <v>10524</v>
      </c>
      <c r="J13" s="13">
        <f t="shared" si="7"/>
        <v>73668</v>
      </c>
      <c r="K13" s="13">
        <f t="shared" si="7"/>
        <v>52620</v>
      </c>
      <c r="L13" s="13">
        <f t="shared" si="8"/>
        <v>126288</v>
      </c>
      <c r="M13" s="13">
        <f t="shared" si="9"/>
        <v>1251369</v>
      </c>
      <c r="N13" s="18">
        <f t="shared" ref="N13:N45" si="18">ROUND(M13*$N$3,0)</f>
        <v>75082</v>
      </c>
      <c r="O13" s="18">
        <f t="shared" si="10"/>
        <v>1326451</v>
      </c>
      <c r="P13" s="22">
        <f t="shared" si="1"/>
        <v>46753</v>
      </c>
      <c r="Q13" s="23">
        <f t="shared" si="11"/>
        <v>44.99456</v>
      </c>
      <c r="R13" s="23">
        <f t="shared" si="12"/>
        <v>2806.7393035958125</v>
      </c>
      <c r="S13" s="23">
        <f t="shared" si="13"/>
        <v>30603.417262175695</v>
      </c>
      <c r="T13" s="24">
        <f t="shared" si="14"/>
        <v>1376987</v>
      </c>
      <c r="U13" s="242"/>
    </row>
    <row r="14" spans="1:21" x14ac:dyDescent="0.4">
      <c r="A14" s="12">
        <f>+IF($H$6&lt;=A13,"",DATE(YEAR(A13)+1,MONTH(A13),1))</f>
        <v>47119</v>
      </c>
      <c r="B14" s="13">
        <f t="shared" si="3"/>
        <v>5</v>
      </c>
      <c r="C14" s="36">
        <f t="shared" ref="C14:C24" si="19">+IF($H$6&lt;A13,"",IF(CEILING(C13*3%,100)-ROUND(C13*3%,0)&lt;=50,CEILING(C13*3%,100),CEILING(C13*3%,100)-100)+C13)</f>
        <v>26000</v>
      </c>
      <c r="D14" s="14">
        <f t="shared" si="4"/>
        <v>0.80000000000000027</v>
      </c>
      <c r="E14" s="13">
        <f t="shared" si="5"/>
        <v>20800</v>
      </c>
      <c r="F14" s="13">
        <f t="shared" si="6"/>
        <v>46800</v>
      </c>
      <c r="G14" s="13">
        <f t="shared" si="15"/>
        <v>6552</v>
      </c>
      <c r="H14" s="13">
        <f t="shared" si="16"/>
        <v>4680</v>
      </c>
      <c r="I14" s="13">
        <f t="shared" si="17"/>
        <v>11232</v>
      </c>
      <c r="J14" s="13">
        <f t="shared" si="7"/>
        <v>78624</v>
      </c>
      <c r="K14" s="13">
        <f t="shared" si="7"/>
        <v>56160</v>
      </c>
      <c r="L14" s="13">
        <f t="shared" si="8"/>
        <v>134784</v>
      </c>
      <c r="M14" s="13">
        <f t="shared" si="9"/>
        <v>1386153</v>
      </c>
      <c r="N14" s="18">
        <f t="shared" si="18"/>
        <v>83169</v>
      </c>
      <c r="O14" s="18">
        <f t="shared" si="10"/>
        <v>1469322</v>
      </c>
      <c r="P14" s="22">
        <f t="shared" si="1"/>
        <v>47119</v>
      </c>
      <c r="Q14" s="23">
        <f t="shared" si="11"/>
        <v>46.794342399999998</v>
      </c>
      <c r="R14" s="23">
        <f t="shared" si="12"/>
        <v>2880.3482020937645</v>
      </c>
      <c r="S14" s="23">
        <f t="shared" si="13"/>
        <v>33483.765464269462</v>
      </c>
      <c r="T14" s="24">
        <f t="shared" si="14"/>
        <v>1566851</v>
      </c>
      <c r="U14" s="242"/>
    </row>
    <row r="15" spans="1:21" s="5" customFormat="1" x14ac:dyDescent="0.4">
      <c r="A15" s="12">
        <f>+IF($H$6&lt;=A14,"",DATE(YEAR(A14)+1,MONTH(A14),1))</f>
        <v>47484</v>
      </c>
      <c r="B15" s="13">
        <f t="shared" si="3"/>
        <v>6</v>
      </c>
      <c r="C15" s="36">
        <f t="shared" si="19"/>
        <v>26800</v>
      </c>
      <c r="D15" s="14">
        <f t="shared" si="4"/>
        <v>0.86000000000000032</v>
      </c>
      <c r="E15" s="13">
        <f t="shared" si="5"/>
        <v>23048</v>
      </c>
      <c r="F15" s="13">
        <f t="shared" si="6"/>
        <v>49848</v>
      </c>
      <c r="G15" s="13">
        <f t="shared" si="15"/>
        <v>6979</v>
      </c>
      <c r="H15" s="13">
        <f t="shared" si="16"/>
        <v>4985</v>
      </c>
      <c r="I15" s="13">
        <f t="shared" si="17"/>
        <v>11964</v>
      </c>
      <c r="J15" s="13">
        <f t="shared" si="7"/>
        <v>83748</v>
      </c>
      <c r="K15" s="13">
        <f t="shared" si="7"/>
        <v>59820</v>
      </c>
      <c r="L15" s="13">
        <f t="shared" si="8"/>
        <v>143568</v>
      </c>
      <c r="M15" s="13">
        <f t="shared" si="9"/>
        <v>1529721</v>
      </c>
      <c r="N15" s="18">
        <f t="shared" si="18"/>
        <v>91783</v>
      </c>
      <c r="O15" s="18">
        <f t="shared" si="10"/>
        <v>1621504</v>
      </c>
      <c r="P15" s="22">
        <f t="shared" si="1"/>
        <v>47484</v>
      </c>
      <c r="Q15" s="23">
        <f t="shared" si="11"/>
        <v>48.666116095999996</v>
      </c>
      <c r="R15" s="23">
        <f t="shared" si="12"/>
        <v>2950.0607715806655</v>
      </c>
      <c r="S15" s="23">
        <f t="shared" si="13"/>
        <v>36433.826235850123</v>
      </c>
      <c r="T15" s="24">
        <f t="shared" si="14"/>
        <v>1773093</v>
      </c>
      <c r="U15" s="242"/>
    </row>
    <row r="16" spans="1:21" x14ac:dyDescent="0.4">
      <c r="A16" s="12">
        <f t="shared" si="2"/>
        <v>47849</v>
      </c>
      <c r="B16" s="13">
        <f t="shared" si="3"/>
        <v>7</v>
      </c>
      <c r="C16" s="36">
        <f t="shared" si="19"/>
        <v>27600</v>
      </c>
      <c r="D16" s="14">
        <f t="shared" si="4"/>
        <v>0.92000000000000037</v>
      </c>
      <c r="E16" s="13">
        <f t="shared" si="5"/>
        <v>25392</v>
      </c>
      <c r="F16" s="13">
        <f t="shared" si="6"/>
        <v>52992</v>
      </c>
      <c r="G16" s="13">
        <f t="shared" si="15"/>
        <v>7419</v>
      </c>
      <c r="H16" s="13">
        <f t="shared" si="16"/>
        <v>5299</v>
      </c>
      <c r="I16" s="13">
        <f t="shared" si="17"/>
        <v>12718</v>
      </c>
      <c r="J16" s="13">
        <f t="shared" si="7"/>
        <v>89028</v>
      </c>
      <c r="K16" s="13">
        <f t="shared" si="7"/>
        <v>63588</v>
      </c>
      <c r="L16" s="13">
        <f t="shared" si="8"/>
        <v>152616</v>
      </c>
      <c r="M16" s="13">
        <f t="shared" si="9"/>
        <v>1682337</v>
      </c>
      <c r="N16" s="18">
        <f t="shared" si="18"/>
        <v>100940</v>
      </c>
      <c r="O16" s="18">
        <f t="shared" si="10"/>
        <v>1783277</v>
      </c>
      <c r="P16" s="22">
        <f t="shared" si="1"/>
        <v>47849</v>
      </c>
      <c r="Q16" s="23">
        <f t="shared" si="11"/>
        <v>50.612760739839999</v>
      </c>
      <c r="R16" s="23">
        <f t="shared" si="12"/>
        <v>3015.3660414707988</v>
      </c>
      <c r="S16" s="23">
        <f>IF(OR(A16=0,A16=""),0,(S15+R16))</f>
        <v>39449.192277320923</v>
      </c>
      <c r="T16" s="24">
        <f t="shared" si="14"/>
        <v>1996633</v>
      </c>
      <c r="U16" s="242"/>
    </row>
    <row r="17" spans="1:21" s="5" customFormat="1" x14ac:dyDescent="0.4">
      <c r="A17" s="12">
        <f t="shared" si="2"/>
        <v>48214</v>
      </c>
      <c r="B17" s="13">
        <f t="shared" si="3"/>
        <v>8</v>
      </c>
      <c r="C17" s="36">
        <f t="shared" si="19"/>
        <v>28400</v>
      </c>
      <c r="D17" s="14">
        <f t="shared" si="4"/>
        <v>0.98000000000000043</v>
      </c>
      <c r="E17" s="13">
        <f t="shared" si="5"/>
        <v>27832</v>
      </c>
      <c r="F17" s="13">
        <f t="shared" si="6"/>
        <v>56232</v>
      </c>
      <c r="G17" s="13">
        <f t="shared" si="15"/>
        <v>7872</v>
      </c>
      <c r="H17" s="13">
        <f t="shared" si="16"/>
        <v>5623</v>
      </c>
      <c r="I17" s="13">
        <f t="shared" si="17"/>
        <v>13495</v>
      </c>
      <c r="J17" s="13">
        <f t="shared" si="7"/>
        <v>94464</v>
      </c>
      <c r="K17" s="13">
        <f t="shared" si="7"/>
        <v>67476</v>
      </c>
      <c r="L17" s="13">
        <f t="shared" si="8"/>
        <v>161940</v>
      </c>
      <c r="M17" s="13">
        <f t="shared" si="9"/>
        <v>1844277</v>
      </c>
      <c r="N17" s="18">
        <f t="shared" si="18"/>
        <v>110657</v>
      </c>
      <c r="O17" s="18">
        <f t="shared" si="10"/>
        <v>1954934</v>
      </c>
      <c r="P17" s="22">
        <f t="shared" si="1"/>
        <v>48214</v>
      </c>
      <c r="Q17" s="23">
        <f t="shared" si="11"/>
        <v>52.637271169433596</v>
      </c>
      <c r="R17" s="23">
        <f t="shared" si="12"/>
        <v>3076.5272667485538</v>
      </c>
      <c r="S17" s="23">
        <f t="shared" ref="S17:S45" si="20">IF(OR(A17=0,A17=""),0,(S16+R17))</f>
        <v>42525.719544069478</v>
      </c>
      <c r="T17" s="24">
        <f t="shared" si="14"/>
        <v>2238438</v>
      </c>
      <c r="U17" s="242"/>
    </row>
    <row r="18" spans="1:21" x14ac:dyDescent="0.4">
      <c r="A18" s="12">
        <f t="shared" si="2"/>
        <v>48580</v>
      </c>
      <c r="B18" s="13">
        <f t="shared" si="3"/>
        <v>9</v>
      </c>
      <c r="C18" s="36">
        <f t="shared" si="19"/>
        <v>29300</v>
      </c>
      <c r="D18" s="14">
        <f t="shared" si="4"/>
        <v>1.0400000000000005</v>
      </c>
      <c r="E18" s="13">
        <f t="shared" si="5"/>
        <v>30472</v>
      </c>
      <c r="F18" s="13">
        <f t="shared" si="6"/>
        <v>59772</v>
      </c>
      <c r="G18" s="13">
        <f t="shared" si="15"/>
        <v>8368</v>
      </c>
      <c r="H18" s="13">
        <f t="shared" si="16"/>
        <v>5977</v>
      </c>
      <c r="I18" s="13">
        <f t="shared" si="17"/>
        <v>14345</v>
      </c>
      <c r="J18" s="13">
        <f t="shared" si="7"/>
        <v>100416</v>
      </c>
      <c r="K18" s="13">
        <f t="shared" si="7"/>
        <v>71724</v>
      </c>
      <c r="L18" s="13">
        <f t="shared" si="8"/>
        <v>172140</v>
      </c>
      <c r="M18" s="13">
        <f t="shared" si="9"/>
        <v>2016417</v>
      </c>
      <c r="N18" s="18">
        <f t="shared" si="18"/>
        <v>120985</v>
      </c>
      <c r="O18" s="18">
        <f t="shared" si="10"/>
        <v>2137402</v>
      </c>
      <c r="P18" s="22">
        <f t="shared" si="1"/>
        <v>48580</v>
      </c>
      <c r="Q18" s="23">
        <f t="shared" si="11"/>
        <v>54.742762016210939</v>
      </c>
      <c r="R18" s="23">
        <f t="shared" si="12"/>
        <v>3144.5252972260387</v>
      </c>
      <c r="S18" s="23">
        <f t="shared" si="20"/>
        <v>45670.244841295513</v>
      </c>
      <c r="T18" s="24">
        <f t="shared" si="14"/>
        <v>2500115</v>
      </c>
      <c r="U18" s="242"/>
    </row>
    <row r="19" spans="1:21" s="5" customFormat="1" x14ac:dyDescent="0.4">
      <c r="A19" s="12">
        <f t="shared" si="2"/>
        <v>48945</v>
      </c>
      <c r="B19" s="13">
        <f t="shared" si="3"/>
        <v>10</v>
      </c>
      <c r="C19" s="36">
        <f t="shared" si="19"/>
        <v>30200</v>
      </c>
      <c r="D19" s="14">
        <f t="shared" si="4"/>
        <v>1.1000000000000005</v>
      </c>
      <c r="E19" s="13">
        <f t="shared" si="5"/>
        <v>33220</v>
      </c>
      <c r="F19" s="13">
        <f t="shared" si="6"/>
        <v>63420</v>
      </c>
      <c r="G19" s="13">
        <f t="shared" si="15"/>
        <v>8879</v>
      </c>
      <c r="H19" s="13">
        <f t="shared" si="16"/>
        <v>6342</v>
      </c>
      <c r="I19" s="13">
        <f t="shared" si="17"/>
        <v>15221</v>
      </c>
      <c r="J19" s="13">
        <f t="shared" si="7"/>
        <v>106548</v>
      </c>
      <c r="K19" s="13">
        <f t="shared" si="7"/>
        <v>76104</v>
      </c>
      <c r="L19" s="13">
        <f t="shared" si="8"/>
        <v>182652</v>
      </c>
      <c r="M19" s="13">
        <f t="shared" si="9"/>
        <v>2199069</v>
      </c>
      <c r="N19" s="18">
        <f t="shared" si="18"/>
        <v>131944</v>
      </c>
      <c r="O19" s="18">
        <f t="shared" si="10"/>
        <v>2331013</v>
      </c>
      <c r="P19" s="22">
        <f t="shared" si="1"/>
        <v>48945</v>
      </c>
      <c r="Q19" s="23">
        <f t="shared" si="11"/>
        <v>56.932472496859376</v>
      </c>
      <c r="R19" s="23">
        <f t="shared" si="12"/>
        <v>3208.2218106736154</v>
      </c>
      <c r="S19" s="23">
        <f t="shared" si="20"/>
        <v>48878.466651969131</v>
      </c>
      <c r="T19" s="24">
        <f t="shared" si="14"/>
        <v>2782772</v>
      </c>
      <c r="U19" s="242"/>
    </row>
    <row r="20" spans="1:21" x14ac:dyDescent="0.4">
      <c r="A20" s="12">
        <f t="shared" si="2"/>
        <v>49310</v>
      </c>
      <c r="B20" s="13">
        <f t="shared" si="3"/>
        <v>11</v>
      </c>
      <c r="C20" s="36">
        <f t="shared" si="19"/>
        <v>31100</v>
      </c>
      <c r="D20" s="14">
        <f t="shared" si="4"/>
        <v>1.1600000000000006</v>
      </c>
      <c r="E20" s="13">
        <f t="shared" si="5"/>
        <v>36076</v>
      </c>
      <c r="F20" s="13">
        <f t="shared" si="6"/>
        <v>67176</v>
      </c>
      <c r="G20" s="13">
        <f t="shared" si="15"/>
        <v>9405</v>
      </c>
      <c r="H20" s="13">
        <f t="shared" si="16"/>
        <v>6718</v>
      </c>
      <c r="I20" s="13">
        <f t="shared" si="17"/>
        <v>16123</v>
      </c>
      <c r="J20" s="13">
        <f t="shared" si="7"/>
        <v>112860</v>
      </c>
      <c r="K20" s="13">
        <f t="shared" si="7"/>
        <v>80616</v>
      </c>
      <c r="L20" s="13">
        <f t="shared" si="8"/>
        <v>193476</v>
      </c>
      <c r="M20" s="13">
        <f t="shared" si="9"/>
        <v>2392545</v>
      </c>
      <c r="N20" s="18">
        <f t="shared" si="18"/>
        <v>143553</v>
      </c>
      <c r="O20" s="18">
        <f t="shared" si="10"/>
        <v>2536098</v>
      </c>
      <c r="P20" s="22">
        <f t="shared" si="1"/>
        <v>49310</v>
      </c>
      <c r="Q20" s="23">
        <f t="shared" si="11"/>
        <v>59.20977139673375</v>
      </c>
      <c r="R20" s="23">
        <f t="shared" si="12"/>
        <v>3267.6363281935069</v>
      </c>
      <c r="S20" s="23">
        <f t="shared" si="20"/>
        <v>52146.102980162636</v>
      </c>
      <c r="T20" s="24">
        <f t="shared" si="14"/>
        <v>3087559</v>
      </c>
      <c r="U20" s="242"/>
    </row>
    <row r="21" spans="1:21" s="5" customFormat="1" x14ac:dyDescent="0.4">
      <c r="A21" s="12">
        <f t="shared" si="2"/>
        <v>49675</v>
      </c>
      <c r="B21" s="13">
        <f t="shared" si="3"/>
        <v>12</v>
      </c>
      <c r="C21" s="36">
        <f t="shared" si="19"/>
        <v>32000</v>
      </c>
      <c r="D21" s="14">
        <f t="shared" si="4"/>
        <v>1.2200000000000006</v>
      </c>
      <c r="E21" s="13">
        <f t="shared" si="5"/>
        <v>39040</v>
      </c>
      <c r="F21" s="13">
        <f t="shared" si="6"/>
        <v>71040</v>
      </c>
      <c r="G21" s="13">
        <f t="shared" si="15"/>
        <v>9946</v>
      </c>
      <c r="H21" s="13">
        <f t="shared" si="16"/>
        <v>7104</v>
      </c>
      <c r="I21" s="13">
        <f t="shared" si="17"/>
        <v>17050</v>
      </c>
      <c r="J21" s="13">
        <f t="shared" si="7"/>
        <v>119352</v>
      </c>
      <c r="K21" s="13">
        <f t="shared" si="7"/>
        <v>85248</v>
      </c>
      <c r="L21" s="13">
        <f t="shared" si="8"/>
        <v>204600</v>
      </c>
      <c r="M21" s="13">
        <f t="shared" si="9"/>
        <v>2597145</v>
      </c>
      <c r="N21" s="18">
        <f t="shared" si="18"/>
        <v>155829</v>
      </c>
      <c r="O21" s="18">
        <f t="shared" si="10"/>
        <v>2752974</v>
      </c>
      <c r="P21" s="22">
        <f t="shared" si="1"/>
        <v>49675</v>
      </c>
      <c r="Q21" s="23">
        <f t="shared" si="11"/>
        <v>61.5781622526031</v>
      </c>
      <c r="R21" s="23">
        <f t="shared" si="12"/>
        <v>3322.6064649461168</v>
      </c>
      <c r="S21" s="23">
        <f t="shared" si="20"/>
        <v>55468.709445108754</v>
      </c>
      <c r="T21" s="24">
        <f t="shared" si="14"/>
        <v>3415661</v>
      </c>
      <c r="U21" s="242"/>
    </row>
    <row r="22" spans="1:21" x14ac:dyDescent="0.4">
      <c r="A22" s="12">
        <f t="shared" si="2"/>
        <v>50041</v>
      </c>
      <c r="B22" s="13">
        <f t="shared" si="3"/>
        <v>13</v>
      </c>
      <c r="C22" s="36">
        <f t="shared" si="19"/>
        <v>33000</v>
      </c>
      <c r="D22" s="14">
        <f t="shared" si="4"/>
        <v>1.2800000000000007</v>
      </c>
      <c r="E22" s="13">
        <f t="shared" si="5"/>
        <v>42240</v>
      </c>
      <c r="F22" s="13">
        <f t="shared" si="6"/>
        <v>75240</v>
      </c>
      <c r="G22" s="13">
        <f t="shared" si="15"/>
        <v>10534</v>
      </c>
      <c r="H22" s="13">
        <f t="shared" si="16"/>
        <v>7524</v>
      </c>
      <c r="I22" s="13">
        <f t="shared" si="17"/>
        <v>18058</v>
      </c>
      <c r="J22" s="13">
        <f t="shared" si="7"/>
        <v>126408</v>
      </c>
      <c r="K22" s="13">
        <f t="shared" si="7"/>
        <v>90288</v>
      </c>
      <c r="L22" s="13">
        <f t="shared" si="8"/>
        <v>216696</v>
      </c>
      <c r="M22" s="13">
        <f t="shared" si="9"/>
        <v>2813841</v>
      </c>
      <c r="N22" s="18">
        <f t="shared" si="18"/>
        <v>168830</v>
      </c>
      <c r="O22" s="18">
        <f t="shared" si="10"/>
        <v>2982671</v>
      </c>
      <c r="P22" s="22">
        <f t="shared" si="1"/>
        <v>50041</v>
      </c>
      <c r="Q22" s="23">
        <f t="shared" si="11"/>
        <v>64.041288742707223</v>
      </c>
      <c r="R22" s="23">
        <f t="shared" si="12"/>
        <v>3383.6920563950475</v>
      </c>
      <c r="S22" s="23">
        <f t="shared" si="20"/>
        <v>58852.401501503802</v>
      </c>
      <c r="T22" s="24">
        <f t="shared" si="14"/>
        <v>3768984</v>
      </c>
      <c r="U22" s="242"/>
    </row>
    <row r="23" spans="1:21" s="5" customFormat="1" x14ac:dyDescent="0.4">
      <c r="A23" s="12">
        <f t="shared" si="2"/>
        <v>50406</v>
      </c>
      <c r="B23" s="13">
        <f t="shared" si="3"/>
        <v>14</v>
      </c>
      <c r="C23" s="36">
        <f t="shared" si="19"/>
        <v>34000</v>
      </c>
      <c r="D23" s="14">
        <f t="shared" si="4"/>
        <v>1.3400000000000007</v>
      </c>
      <c r="E23" s="13">
        <f t="shared" si="5"/>
        <v>45560</v>
      </c>
      <c r="F23" s="13">
        <f t="shared" si="6"/>
        <v>79560</v>
      </c>
      <c r="G23" s="13">
        <f t="shared" si="15"/>
        <v>11138</v>
      </c>
      <c r="H23" s="13">
        <f t="shared" si="16"/>
        <v>7956</v>
      </c>
      <c r="I23" s="13">
        <f t="shared" si="17"/>
        <v>19094</v>
      </c>
      <c r="J23" s="13">
        <f t="shared" si="7"/>
        <v>133656</v>
      </c>
      <c r="K23" s="13">
        <f t="shared" si="7"/>
        <v>95472</v>
      </c>
      <c r="L23" s="13">
        <f t="shared" si="8"/>
        <v>229128</v>
      </c>
      <c r="M23" s="13">
        <f t="shared" si="9"/>
        <v>3042969</v>
      </c>
      <c r="N23" s="18">
        <f t="shared" si="18"/>
        <v>182578</v>
      </c>
      <c r="O23" s="18">
        <f t="shared" si="10"/>
        <v>3225547</v>
      </c>
      <c r="P23" s="22">
        <f t="shared" si="1"/>
        <v>50406</v>
      </c>
      <c r="Q23" s="23">
        <f t="shared" si="11"/>
        <v>66.602940292415511</v>
      </c>
      <c r="R23" s="23">
        <f t="shared" si="12"/>
        <v>3440.2084801966653</v>
      </c>
      <c r="S23" s="23">
        <f t="shared" si="20"/>
        <v>62292.609981700465</v>
      </c>
      <c r="T23" s="24">
        <f t="shared" si="14"/>
        <v>4148871</v>
      </c>
      <c r="U23" s="242"/>
    </row>
    <row r="24" spans="1:21" x14ac:dyDescent="0.4">
      <c r="A24" s="12">
        <f t="shared" si="2"/>
        <v>50771</v>
      </c>
      <c r="B24" s="13">
        <f t="shared" si="3"/>
        <v>15</v>
      </c>
      <c r="C24" s="36">
        <f t="shared" si="19"/>
        <v>35000</v>
      </c>
      <c r="D24" s="14">
        <f t="shared" si="4"/>
        <v>1.4000000000000008</v>
      </c>
      <c r="E24" s="13">
        <f t="shared" si="5"/>
        <v>49000</v>
      </c>
      <c r="F24" s="13">
        <f t="shared" si="6"/>
        <v>84000</v>
      </c>
      <c r="G24" s="13">
        <f t="shared" si="15"/>
        <v>11760</v>
      </c>
      <c r="H24" s="13">
        <f t="shared" si="16"/>
        <v>8400</v>
      </c>
      <c r="I24" s="13">
        <f t="shared" si="17"/>
        <v>20160</v>
      </c>
      <c r="J24" s="13">
        <f t="shared" si="7"/>
        <v>141120</v>
      </c>
      <c r="K24" s="13">
        <f t="shared" si="7"/>
        <v>100800</v>
      </c>
      <c r="L24" s="13">
        <f t="shared" si="8"/>
        <v>241920</v>
      </c>
      <c r="M24" s="13">
        <f t="shared" si="9"/>
        <v>3284889</v>
      </c>
      <c r="N24" s="18">
        <f t="shared" si="18"/>
        <v>197093</v>
      </c>
      <c r="O24" s="18">
        <f t="shared" si="10"/>
        <v>3481982</v>
      </c>
      <c r="P24" s="22">
        <f t="shared" si="1"/>
        <v>50771</v>
      </c>
      <c r="Q24" s="23">
        <f t="shared" si="11"/>
        <v>69.267057904112136</v>
      </c>
      <c r="R24" s="23">
        <f t="shared" si="12"/>
        <v>3492.5693009062838</v>
      </c>
      <c r="S24" s="23">
        <f t="shared" si="20"/>
        <v>65785.179282606754</v>
      </c>
      <c r="T24" s="24">
        <f t="shared" si="14"/>
        <v>4556746</v>
      </c>
      <c r="U24" s="242"/>
    </row>
    <row r="25" spans="1:21" s="5" customFormat="1" x14ac:dyDescent="0.4">
      <c r="A25" s="12">
        <f t="shared" si="2"/>
        <v>51136</v>
      </c>
      <c r="B25" s="13">
        <f t="shared" si="3"/>
        <v>16</v>
      </c>
      <c r="C25" s="36">
        <f>+IF($H$6&lt;A24,"",IF(CEILING(C24*3%,100)-ROUND(C24*3%,0)&lt;=50,CEILING(C24*3%,100),CEILING(C24*3%,100)-100)+C24)</f>
        <v>36100</v>
      </c>
      <c r="D25" s="14">
        <f t="shared" si="4"/>
        <v>1.4600000000000009</v>
      </c>
      <c r="E25" s="13">
        <f t="shared" si="5"/>
        <v>52706</v>
      </c>
      <c r="F25" s="13">
        <f t="shared" si="6"/>
        <v>88806</v>
      </c>
      <c r="G25" s="13">
        <f t="shared" si="15"/>
        <v>12433</v>
      </c>
      <c r="H25" s="13">
        <f t="shared" si="16"/>
        <v>8881</v>
      </c>
      <c r="I25" s="13">
        <f t="shared" si="17"/>
        <v>21314</v>
      </c>
      <c r="J25" s="13">
        <f t="shared" si="7"/>
        <v>149196</v>
      </c>
      <c r="K25" s="13">
        <f t="shared" si="7"/>
        <v>106572</v>
      </c>
      <c r="L25" s="13">
        <f t="shared" si="8"/>
        <v>255768</v>
      </c>
      <c r="M25" s="13">
        <f t="shared" si="9"/>
        <v>3540657</v>
      </c>
      <c r="N25" s="18">
        <f t="shared" si="18"/>
        <v>212439</v>
      </c>
      <c r="O25" s="18">
        <f t="shared" si="10"/>
        <v>3753096</v>
      </c>
      <c r="P25" s="22">
        <f t="shared" si="1"/>
        <v>51136</v>
      </c>
      <c r="Q25" s="23">
        <f t="shared" si="11"/>
        <v>72.037740220276618</v>
      </c>
      <c r="R25" s="23">
        <f t="shared" si="12"/>
        <v>3550.4722832492243</v>
      </c>
      <c r="S25" s="23">
        <f t="shared" si="20"/>
        <v>69335.65156585598</v>
      </c>
      <c r="T25" s="24">
        <f t="shared" si="14"/>
        <v>4994784</v>
      </c>
      <c r="U25" s="242"/>
    </row>
    <row r="26" spans="1:21" x14ac:dyDescent="0.4">
      <c r="A26" s="12">
        <f t="shared" si="2"/>
        <v>51502</v>
      </c>
      <c r="B26" s="13">
        <f t="shared" si="3"/>
        <v>17</v>
      </c>
      <c r="C26" s="36">
        <f t="shared" ref="C26:C45" si="21">+IF($H$6&lt;A25,"",IF(CEILING(C25*3%,100)-ROUND(C25*3%,0)&lt;=50,CEILING(C25*3%,100),CEILING(C25*3%,100)-100)+C25)</f>
        <v>37200</v>
      </c>
      <c r="D26" s="14">
        <f t="shared" si="4"/>
        <v>1.5200000000000009</v>
      </c>
      <c r="E26" s="13">
        <f t="shared" si="5"/>
        <v>56544</v>
      </c>
      <c r="F26" s="13">
        <f t="shared" si="6"/>
        <v>93744</v>
      </c>
      <c r="G26" s="13">
        <f t="shared" si="15"/>
        <v>13124</v>
      </c>
      <c r="H26" s="13">
        <f t="shared" si="16"/>
        <v>9374</v>
      </c>
      <c r="I26" s="13">
        <f t="shared" si="17"/>
        <v>22498</v>
      </c>
      <c r="J26" s="13">
        <f t="shared" si="7"/>
        <v>157488</v>
      </c>
      <c r="K26" s="13">
        <f t="shared" si="7"/>
        <v>112488</v>
      </c>
      <c r="L26" s="13">
        <f t="shared" si="8"/>
        <v>269976</v>
      </c>
      <c r="M26" s="13">
        <f t="shared" si="9"/>
        <v>3810633</v>
      </c>
      <c r="N26" s="18">
        <f t="shared" si="18"/>
        <v>228638</v>
      </c>
      <c r="O26" s="18">
        <f t="shared" si="10"/>
        <v>4039271</v>
      </c>
      <c r="P26" s="22">
        <f t="shared" si="1"/>
        <v>51502</v>
      </c>
      <c r="Q26" s="23">
        <f t="shared" si="11"/>
        <v>74.919249829087676</v>
      </c>
      <c r="R26" s="23">
        <f t="shared" si="12"/>
        <v>3603.5598409740192</v>
      </c>
      <c r="S26" s="23">
        <f t="shared" si="20"/>
        <v>72939.21140683</v>
      </c>
      <c r="T26" s="24">
        <f t="shared" si="14"/>
        <v>5464551</v>
      </c>
      <c r="U26" s="242"/>
    </row>
    <row r="27" spans="1:21" s="5" customFormat="1" x14ac:dyDescent="0.4">
      <c r="A27" s="12">
        <f t="shared" si="2"/>
        <v>51867</v>
      </c>
      <c r="B27" s="13">
        <f t="shared" si="3"/>
        <v>18</v>
      </c>
      <c r="C27" s="36">
        <f t="shared" si="21"/>
        <v>38300</v>
      </c>
      <c r="D27" s="14">
        <f t="shared" si="4"/>
        <v>1.580000000000001</v>
      </c>
      <c r="E27" s="13">
        <f t="shared" si="5"/>
        <v>60514</v>
      </c>
      <c r="F27" s="13">
        <f t="shared" si="6"/>
        <v>98814</v>
      </c>
      <c r="G27" s="13">
        <f t="shared" si="15"/>
        <v>13834</v>
      </c>
      <c r="H27" s="13">
        <f t="shared" si="16"/>
        <v>9881</v>
      </c>
      <c r="I27" s="13">
        <f t="shared" si="17"/>
        <v>23715</v>
      </c>
      <c r="J27" s="13">
        <f t="shared" si="7"/>
        <v>166008</v>
      </c>
      <c r="K27" s="13">
        <f t="shared" si="7"/>
        <v>118572</v>
      </c>
      <c r="L27" s="13">
        <f t="shared" si="8"/>
        <v>284580</v>
      </c>
      <c r="M27" s="13">
        <f t="shared" si="9"/>
        <v>4095213</v>
      </c>
      <c r="N27" s="18">
        <f t="shared" si="18"/>
        <v>245713</v>
      </c>
      <c r="O27" s="18">
        <f t="shared" si="10"/>
        <v>4340926</v>
      </c>
      <c r="P27" s="22">
        <f t="shared" si="1"/>
        <v>51867</v>
      </c>
      <c r="Q27" s="23">
        <f t="shared" si="11"/>
        <v>77.916019822251187</v>
      </c>
      <c r="R27" s="23">
        <f t="shared" si="12"/>
        <v>3652.393957612423</v>
      </c>
      <c r="S27" s="23">
        <f t="shared" si="20"/>
        <v>76591.605364442425</v>
      </c>
      <c r="T27" s="24">
        <f t="shared" si="14"/>
        <v>5967713</v>
      </c>
      <c r="U27" s="242"/>
    </row>
    <row r="28" spans="1:21" x14ac:dyDescent="0.4">
      <c r="A28" s="12">
        <f t="shared" si="2"/>
        <v>52232</v>
      </c>
      <c r="B28" s="13">
        <f t="shared" si="3"/>
        <v>19</v>
      </c>
      <c r="C28" s="36">
        <f t="shared" si="21"/>
        <v>39400</v>
      </c>
      <c r="D28" s="14">
        <f t="shared" si="4"/>
        <v>1.640000000000001</v>
      </c>
      <c r="E28" s="13">
        <f t="shared" si="5"/>
        <v>64616</v>
      </c>
      <c r="F28" s="13">
        <f t="shared" si="6"/>
        <v>104016</v>
      </c>
      <c r="G28" s="13">
        <f t="shared" si="15"/>
        <v>14562</v>
      </c>
      <c r="H28" s="13">
        <f t="shared" si="16"/>
        <v>10402</v>
      </c>
      <c r="I28" s="13">
        <f t="shared" si="17"/>
        <v>24964</v>
      </c>
      <c r="J28" s="13">
        <f t="shared" ref="J28:K45" si="22">+G28*12</f>
        <v>174744</v>
      </c>
      <c r="K28" s="13">
        <f t="shared" si="22"/>
        <v>124824</v>
      </c>
      <c r="L28" s="13">
        <f t="shared" si="8"/>
        <v>299568</v>
      </c>
      <c r="M28" s="13">
        <f t="shared" si="9"/>
        <v>4394781</v>
      </c>
      <c r="N28" s="18">
        <f t="shared" si="18"/>
        <v>263687</v>
      </c>
      <c r="O28" s="18">
        <f t="shared" si="10"/>
        <v>4658468</v>
      </c>
      <c r="P28" s="22">
        <f t="shared" si="1"/>
        <v>52232</v>
      </c>
      <c r="Q28" s="23">
        <f t="shared" si="11"/>
        <v>81.032660615141239</v>
      </c>
      <c r="R28" s="23">
        <f t="shared" si="12"/>
        <v>3696.8797238779625</v>
      </c>
      <c r="S28" s="23">
        <f t="shared" si="20"/>
        <v>80288.485088320391</v>
      </c>
      <c r="T28" s="24">
        <f t="shared" si="14"/>
        <v>6505990</v>
      </c>
      <c r="U28" s="242"/>
    </row>
    <row r="29" spans="1:21" s="5" customFormat="1" x14ac:dyDescent="0.4">
      <c r="A29" s="12">
        <f t="shared" si="2"/>
        <v>52597</v>
      </c>
      <c r="B29" s="13">
        <f t="shared" si="3"/>
        <v>20</v>
      </c>
      <c r="C29" s="36">
        <f t="shared" si="21"/>
        <v>40600</v>
      </c>
      <c r="D29" s="14">
        <f t="shared" si="4"/>
        <v>1.7000000000000011</v>
      </c>
      <c r="E29" s="13">
        <f t="shared" si="5"/>
        <v>69020</v>
      </c>
      <c r="F29" s="13">
        <f t="shared" si="6"/>
        <v>109620</v>
      </c>
      <c r="G29" s="13">
        <f t="shared" si="15"/>
        <v>15347</v>
      </c>
      <c r="H29" s="13">
        <f t="shared" si="16"/>
        <v>10962</v>
      </c>
      <c r="I29" s="13">
        <f t="shared" si="17"/>
        <v>26309</v>
      </c>
      <c r="J29" s="13">
        <f t="shared" si="22"/>
        <v>184164</v>
      </c>
      <c r="K29" s="13">
        <f t="shared" si="22"/>
        <v>131544</v>
      </c>
      <c r="L29" s="13">
        <f t="shared" si="8"/>
        <v>315708</v>
      </c>
      <c r="M29" s="13">
        <f t="shared" si="9"/>
        <v>4710489</v>
      </c>
      <c r="N29" s="18">
        <f t="shared" si="18"/>
        <v>282629</v>
      </c>
      <c r="O29" s="18">
        <f t="shared" si="10"/>
        <v>4993118</v>
      </c>
      <c r="P29" s="22">
        <f t="shared" si="1"/>
        <v>52597</v>
      </c>
      <c r="Q29" s="23">
        <f t="shared" si="11"/>
        <v>84.273967039746893</v>
      </c>
      <c r="R29" s="23">
        <f t="shared" si="12"/>
        <v>3746.2102602942587</v>
      </c>
      <c r="S29" s="23">
        <f t="shared" si="20"/>
        <v>84034.695348614652</v>
      </c>
      <c r="T29" s="24">
        <f t="shared" si="14"/>
        <v>7081937</v>
      </c>
      <c r="U29" s="242"/>
    </row>
    <row r="30" spans="1:21" x14ac:dyDescent="0.4">
      <c r="A30" s="12">
        <f t="shared" si="2"/>
        <v>52963</v>
      </c>
      <c r="B30" s="13">
        <f t="shared" si="3"/>
        <v>21</v>
      </c>
      <c r="C30" s="36">
        <f t="shared" si="21"/>
        <v>41800</v>
      </c>
      <c r="D30" s="14">
        <f t="shared" si="4"/>
        <v>1.7600000000000011</v>
      </c>
      <c r="E30" s="13">
        <f t="shared" si="5"/>
        <v>73568</v>
      </c>
      <c r="F30" s="13">
        <f t="shared" si="6"/>
        <v>115368</v>
      </c>
      <c r="G30" s="13">
        <f t="shared" si="15"/>
        <v>16152</v>
      </c>
      <c r="H30" s="13">
        <f t="shared" si="16"/>
        <v>11537</v>
      </c>
      <c r="I30" s="13">
        <f t="shared" si="17"/>
        <v>27689</v>
      </c>
      <c r="J30" s="13">
        <f t="shared" si="22"/>
        <v>193824</v>
      </c>
      <c r="K30" s="13">
        <f t="shared" si="22"/>
        <v>138444</v>
      </c>
      <c r="L30" s="13">
        <f t="shared" si="8"/>
        <v>332268</v>
      </c>
      <c r="M30" s="13">
        <f t="shared" si="9"/>
        <v>5042757</v>
      </c>
      <c r="N30" s="18">
        <f t="shared" si="18"/>
        <v>302565</v>
      </c>
      <c r="O30" s="18">
        <f t="shared" si="10"/>
        <v>5345322</v>
      </c>
      <c r="P30" s="22">
        <f t="shared" si="1"/>
        <v>52963</v>
      </c>
      <c r="Q30" s="23">
        <f t="shared" si="11"/>
        <v>87.644925721336762</v>
      </c>
      <c r="R30" s="23">
        <f t="shared" si="12"/>
        <v>3791.0694460102768</v>
      </c>
      <c r="S30" s="23">
        <f t="shared" si="20"/>
        <v>87825.764794624934</v>
      </c>
      <c r="T30" s="24">
        <f t="shared" si="14"/>
        <v>7697483</v>
      </c>
      <c r="U30" s="242"/>
    </row>
    <row r="31" spans="1:21" s="5" customFormat="1" x14ac:dyDescent="0.4">
      <c r="A31" s="12">
        <f t="shared" si="2"/>
        <v>53328</v>
      </c>
      <c r="B31" s="13">
        <f t="shared" si="3"/>
        <v>22</v>
      </c>
      <c r="C31" s="36">
        <f t="shared" si="21"/>
        <v>43100</v>
      </c>
      <c r="D31" s="14">
        <f t="shared" si="4"/>
        <v>1.8200000000000012</v>
      </c>
      <c r="E31" s="13">
        <f t="shared" si="5"/>
        <v>78442</v>
      </c>
      <c r="F31" s="13">
        <f t="shared" si="6"/>
        <v>121542</v>
      </c>
      <c r="G31" s="13">
        <f t="shared" si="15"/>
        <v>17016</v>
      </c>
      <c r="H31" s="13">
        <f t="shared" si="16"/>
        <v>12154</v>
      </c>
      <c r="I31" s="13">
        <f t="shared" si="17"/>
        <v>29170</v>
      </c>
      <c r="J31" s="13">
        <f t="shared" si="22"/>
        <v>204192</v>
      </c>
      <c r="K31" s="13">
        <f t="shared" si="22"/>
        <v>145848</v>
      </c>
      <c r="L31" s="13">
        <f t="shared" si="8"/>
        <v>350040</v>
      </c>
      <c r="M31" s="13">
        <f t="shared" si="9"/>
        <v>5392797</v>
      </c>
      <c r="N31" s="18">
        <f t="shared" si="18"/>
        <v>323568</v>
      </c>
      <c r="O31" s="18">
        <f t="shared" si="10"/>
        <v>5716365</v>
      </c>
      <c r="P31" s="22">
        <f t="shared" si="1"/>
        <v>53328</v>
      </c>
      <c r="Q31" s="23">
        <f t="shared" si="11"/>
        <v>91.150722750190226</v>
      </c>
      <c r="R31" s="23">
        <f t="shared" si="12"/>
        <v>3840.2328521226068</v>
      </c>
      <c r="S31" s="23">
        <f t="shared" si="20"/>
        <v>91665.997646747535</v>
      </c>
      <c r="T31" s="24">
        <f t="shared" si="14"/>
        <v>8355422</v>
      </c>
      <c r="U31" s="242"/>
    </row>
    <row r="32" spans="1:21" x14ac:dyDescent="0.4">
      <c r="A32" s="12">
        <f t="shared" si="2"/>
        <v>53693</v>
      </c>
      <c r="B32" s="13">
        <f t="shared" si="3"/>
        <v>23</v>
      </c>
      <c r="C32" s="36">
        <f t="shared" si="21"/>
        <v>44400</v>
      </c>
      <c r="D32" s="14">
        <f t="shared" si="4"/>
        <v>1.8800000000000012</v>
      </c>
      <c r="E32" s="13">
        <f t="shared" si="5"/>
        <v>83472</v>
      </c>
      <c r="F32" s="13">
        <f t="shared" si="6"/>
        <v>127872</v>
      </c>
      <c r="G32" s="13">
        <f t="shared" si="15"/>
        <v>17902</v>
      </c>
      <c r="H32" s="13">
        <f t="shared" si="16"/>
        <v>12787</v>
      </c>
      <c r="I32" s="13">
        <f t="shared" si="17"/>
        <v>30689</v>
      </c>
      <c r="J32" s="13">
        <f t="shared" si="22"/>
        <v>214824</v>
      </c>
      <c r="K32" s="13">
        <f t="shared" si="22"/>
        <v>153444</v>
      </c>
      <c r="L32" s="13">
        <f t="shared" si="8"/>
        <v>368268</v>
      </c>
      <c r="M32" s="13">
        <f t="shared" si="9"/>
        <v>5761065</v>
      </c>
      <c r="N32" s="18">
        <f t="shared" si="18"/>
        <v>345664</v>
      </c>
      <c r="O32" s="18">
        <f t="shared" si="10"/>
        <v>6106729</v>
      </c>
      <c r="P32" s="22">
        <f t="shared" si="1"/>
        <v>53693</v>
      </c>
      <c r="Q32" s="23">
        <f t="shared" si="11"/>
        <v>94.796751660197842</v>
      </c>
      <c r="R32" s="23">
        <f t="shared" si="12"/>
        <v>3884.8166582761091</v>
      </c>
      <c r="S32" s="23">
        <f t="shared" si="20"/>
        <v>95550.814305023639</v>
      </c>
      <c r="T32" s="24">
        <f t="shared" si="14"/>
        <v>9057907</v>
      </c>
      <c r="U32" s="242"/>
    </row>
    <row r="33" spans="1:22" x14ac:dyDescent="0.4">
      <c r="A33" s="12">
        <f t="shared" si="2"/>
        <v>54058</v>
      </c>
      <c r="B33" s="13">
        <f t="shared" si="3"/>
        <v>24</v>
      </c>
      <c r="C33" s="36">
        <f t="shared" si="21"/>
        <v>45700</v>
      </c>
      <c r="D33" s="14">
        <f t="shared" si="4"/>
        <v>1.9400000000000013</v>
      </c>
      <c r="E33" s="13">
        <f t="shared" si="5"/>
        <v>88658</v>
      </c>
      <c r="F33" s="13">
        <f t="shared" si="6"/>
        <v>134358</v>
      </c>
      <c r="G33" s="13">
        <f t="shared" si="15"/>
        <v>18810</v>
      </c>
      <c r="H33" s="13">
        <f t="shared" si="16"/>
        <v>13436</v>
      </c>
      <c r="I33" s="13">
        <f t="shared" si="17"/>
        <v>32246</v>
      </c>
      <c r="J33" s="13">
        <f t="shared" si="22"/>
        <v>225720</v>
      </c>
      <c r="K33" s="13">
        <f t="shared" si="22"/>
        <v>161232</v>
      </c>
      <c r="L33" s="13">
        <f t="shared" si="8"/>
        <v>386952</v>
      </c>
      <c r="M33" s="13">
        <f t="shared" si="9"/>
        <v>6148017</v>
      </c>
      <c r="N33" s="18">
        <f t="shared" si="18"/>
        <v>368881</v>
      </c>
      <c r="O33" s="18">
        <f t="shared" si="10"/>
        <v>6516898</v>
      </c>
      <c r="P33" s="22">
        <f t="shared" si="1"/>
        <v>54058</v>
      </c>
      <c r="Q33" s="23">
        <f t="shared" si="11"/>
        <v>98.588621726605751</v>
      </c>
      <c r="R33" s="23">
        <f t="shared" si="12"/>
        <v>3924.915403250583</v>
      </c>
      <c r="S33" s="23">
        <f t="shared" si="20"/>
        <v>99475.729708274215</v>
      </c>
      <c r="T33" s="24">
        <f t="shared" si="14"/>
        <v>9807175</v>
      </c>
      <c r="U33" s="242"/>
    </row>
    <row r="34" spans="1:22" x14ac:dyDescent="0.4">
      <c r="A34" s="12" t="str">
        <f t="shared" si="2"/>
        <v/>
      </c>
      <c r="B34" s="13">
        <f t="shared" si="3"/>
        <v>0</v>
      </c>
      <c r="C34" s="36" t="str">
        <f t="shared" si="21"/>
        <v/>
      </c>
      <c r="D34" s="14">
        <f t="shared" si="4"/>
        <v>0</v>
      </c>
      <c r="E34" s="13">
        <f t="shared" si="5"/>
        <v>0</v>
      </c>
      <c r="F34" s="13">
        <f t="shared" si="6"/>
        <v>0</v>
      </c>
      <c r="G34" s="13">
        <f t="shared" si="15"/>
        <v>0</v>
      </c>
      <c r="H34" s="13">
        <f t="shared" si="16"/>
        <v>0</v>
      </c>
      <c r="I34" s="13">
        <f t="shared" si="17"/>
        <v>0</v>
      </c>
      <c r="J34" s="13">
        <f t="shared" si="22"/>
        <v>0</v>
      </c>
      <c r="K34" s="13">
        <f t="shared" si="22"/>
        <v>0</v>
      </c>
      <c r="L34" s="13">
        <f>+J34+K34</f>
        <v>0</v>
      </c>
      <c r="M34" s="13">
        <f t="shared" si="9"/>
        <v>0</v>
      </c>
      <c r="N34" s="18">
        <f t="shared" si="18"/>
        <v>0</v>
      </c>
      <c r="O34" s="18">
        <f t="shared" si="10"/>
        <v>0</v>
      </c>
      <c r="P34" s="22" t="str">
        <f t="shared" si="1"/>
        <v/>
      </c>
      <c r="Q34" s="23">
        <f t="shared" si="11"/>
        <v>0</v>
      </c>
      <c r="R34" s="23">
        <f>IF(OR(A34=0,A34=""),0,(L34/Q34))</f>
        <v>0</v>
      </c>
      <c r="S34" s="23">
        <f>IF(OR(A34=0,A34=""),0,(S33+R34))</f>
        <v>0</v>
      </c>
      <c r="T34" s="24">
        <f t="shared" si="14"/>
        <v>0</v>
      </c>
      <c r="U34" s="242"/>
    </row>
    <row r="35" spans="1:22" x14ac:dyDescent="0.4">
      <c r="A35" s="12" t="str">
        <f t="shared" si="2"/>
        <v/>
      </c>
      <c r="B35" s="13">
        <f t="shared" si="3"/>
        <v>0</v>
      </c>
      <c r="C35" s="36" t="str">
        <f t="shared" si="21"/>
        <v/>
      </c>
      <c r="D35" s="14">
        <f t="shared" si="4"/>
        <v>0</v>
      </c>
      <c r="E35" s="13">
        <f t="shared" si="5"/>
        <v>0</v>
      </c>
      <c r="F35" s="13">
        <f t="shared" si="6"/>
        <v>0</v>
      </c>
      <c r="G35" s="13">
        <f t="shared" si="15"/>
        <v>0</v>
      </c>
      <c r="H35" s="13">
        <f t="shared" si="16"/>
        <v>0</v>
      </c>
      <c r="I35" s="13">
        <f t="shared" si="17"/>
        <v>0</v>
      </c>
      <c r="J35" s="13">
        <f t="shared" si="22"/>
        <v>0</v>
      </c>
      <c r="K35" s="13">
        <f t="shared" si="22"/>
        <v>0</v>
      </c>
      <c r="L35" s="13">
        <f t="shared" si="8"/>
        <v>0</v>
      </c>
      <c r="M35" s="13">
        <f t="shared" si="9"/>
        <v>0</v>
      </c>
      <c r="N35" s="18">
        <f t="shared" si="18"/>
        <v>0</v>
      </c>
      <c r="O35" s="18">
        <f t="shared" si="10"/>
        <v>0</v>
      </c>
      <c r="P35" s="22" t="str">
        <f t="shared" si="1"/>
        <v/>
      </c>
      <c r="Q35" s="23">
        <f t="shared" si="11"/>
        <v>0</v>
      </c>
      <c r="R35" s="23">
        <f t="shared" si="12"/>
        <v>0</v>
      </c>
      <c r="S35" s="23">
        <f t="shared" si="20"/>
        <v>0</v>
      </c>
      <c r="T35" s="24">
        <f t="shared" si="14"/>
        <v>0</v>
      </c>
      <c r="U35" s="242"/>
    </row>
    <row r="36" spans="1:22" x14ac:dyDescent="0.4">
      <c r="A36" s="12" t="str">
        <f t="shared" si="2"/>
        <v/>
      </c>
      <c r="B36" s="13">
        <f t="shared" si="3"/>
        <v>0</v>
      </c>
      <c r="C36" s="36" t="str">
        <f t="shared" si="21"/>
        <v/>
      </c>
      <c r="D36" s="14">
        <f t="shared" si="4"/>
        <v>0</v>
      </c>
      <c r="E36" s="13">
        <f t="shared" si="5"/>
        <v>0</v>
      </c>
      <c r="F36" s="13">
        <f t="shared" si="6"/>
        <v>0</v>
      </c>
      <c r="G36" s="13">
        <f t="shared" si="15"/>
        <v>0</v>
      </c>
      <c r="H36" s="13">
        <f t="shared" si="16"/>
        <v>0</v>
      </c>
      <c r="I36" s="13">
        <f t="shared" si="17"/>
        <v>0</v>
      </c>
      <c r="J36" s="13">
        <f t="shared" si="22"/>
        <v>0</v>
      </c>
      <c r="K36" s="13">
        <f t="shared" si="22"/>
        <v>0</v>
      </c>
      <c r="L36" s="13">
        <f t="shared" si="8"/>
        <v>0</v>
      </c>
      <c r="M36" s="13">
        <f t="shared" si="9"/>
        <v>0</v>
      </c>
      <c r="N36" s="18">
        <f t="shared" si="18"/>
        <v>0</v>
      </c>
      <c r="O36" s="18">
        <f t="shared" si="10"/>
        <v>0</v>
      </c>
      <c r="P36" s="22" t="str">
        <f t="shared" si="1"/>
        <v/>
      </c>
      <c r="Q36" s="23">
        <f t="shared" si="11"/>
        <v>0</v>
      </c>
      <c r="R36" s="23">
        <f t="shared" si="12"/>
        <v>0</v>
      </c>
      <c r="S36" s="23">
        <f t="shared" si="20"/>
        <v>0</v>
      </c>
      <c r="T36" s="24">
        <f t="shared" si="14"/>
        <v>0</v>
      </c>
      <c r="U36" s="242"/>
    </row>
    <row r="37" spans="1:22" x14ac:dyDescent="0.4">
      <c r="A37" s="12" t="str">
        <f t="shared" si="2"/>
        <v/>
      </c>
      <c r="B37" s="13">
        <f t="shared" si="3"/>
        <v>0</v>
      </c>
      <c r="C37" s="36" t="str">
        <f t="shared" si="21"/>
        <v/>
      </c>
      <c r="D37" s="14">
        <f t="shared" si="4"/>
        <v>0</v>
      </c>
      <c r="E37" s="13">
        <f t="shared" si="5"/>
        <v>0</v>
      </c>
      <c r="F37" s="13">
        <f t="shared" si="6"/>
        <v>0</v>
      </c>
      <c r="G37" s="13">
        <f t="shared" si="15"/>
        <v>0</v>
      </c>
      <c r="H37" s="13">
        <f t="shared" si="16"/>
        <v>0</v>
      </c>
      <c r="I37" s="13">
        <f t="shared" si="17"/>
        <v>0</v>
      </c>
      <c r="J37" s="13">
        <f t="shared" si="22"/>
        <v>0</v>
      </c>
      <c r="K37" s="13">
        <f t="shared" si="22"/>
        <v>0</v>
      </c>
      <c r="L37" s="13">
        <f t="shared" si="8"/>
        <v>0</v>
      </c>
      <c r="M37" s="13">
        <f t="shared" si="9"/>
        <v>0</v>
      </c>
      <c r="N37" s="18">
        <f t="shared" si="18"/>
        <v>0</v>
      </c>
      <c r="O37" s="18">
        <f t="shared" si="10"/>
        <v>0</v>
      </c>
      <c r="P37" s="22" t="str">
        <f t="shared" si="1"/>
        <v/>
      </c>
      <c r="Q37" s="23">
        <f t="shared" si="11"/>
        <v>0</v>
      </c>
      <c r="R37" s="23">
        <f t="shared" si="12"/>
        <v>0</v>
      </c>
      <c r="S37" s="23">
        <f t="shared" si="20"/>
        <v>0</v>
      </c>
      <c r="T37" s="24">
        <f t="shared" si="14"/>
        <v>0</v>
      </c>
      <c r="U37" s="242"/>
    </row>
    <row r="38" spans="1:22" x14ac:dyDescent="0.4">
      <c r="A38" s="12" t="str">
        <f t="shared" si="2"/>
        <v/>
      </c>
      <c r="B38" s="13">
        <f t="shared" si="3"/>
        <v>0</v>
      </c>
      <c r="C38" s="36" t="str">
        <f t="shared" si="21"/>
        <v/>
      </c>
      <c r="D38" s="14">
        <f t="shared" si="4"/>
        <v>0</v>
      </c>
      <c r="E38" s="13">
        <f t="shared" si="5"/>
        <v>0</v>
      </c>
      <c r="F38" s="13">
        <f t="shared" si="6"/>
        <v>0</v>
      </c>
      <c r="G38" s="13">
        <f t="shared" si="15"/>
        <v>0</v>
      </c>
      <c r="H38" s="13">
        <f t="shared" si="16"/>
        <v>0</v>
      </c>
      <c r="I38" s="13">
        <f t="shared" si="17"/>
        <v>0</v>
      </c>
      <c r="J38" s="13">
        <f t="shared" si="22"/>
        <v>0</v>
      </c>
      <c r="K38" s="13">
        <f t="shared" si="22"/>
        <v>0</v>
      </c>
      <c r="L38" s="13">
        <f t="shared" si="8"/>
        <v>0</v>
      </c>
      <c r="M38" s="13">
        <f t="shared" si="9"/>
        <v>0</v>
      </c>
      <c r="N38" s="18">
        <f t="shared" si="18"/>
        <v>0</v>
      </c>
      <c r="O38" s="18">
        <f t="shared" si="10"/>
        <v>0</v>
      </c>
      <c r="P38" s="22" t="str">
        <f t="shared" si="1"/>
        <v/>
      </c>
      <c r="Q38" s="23">
        <f t="shared" si="11"/>
        <v>0</v>
      </c>
      <c r="R38" s="23">
        <f t="shared" si="12"/>
        <v>0</v>
      </c>
      <c r="S38" s="23">
        <f t="shared" si="20"/>
        <v>0</v>
      </c>
      <c r="T38" s="24">
        <f t="shared" si="14"/>
        <v>0</v>
      </c>
      <c r="U38" s="242"/>
    </row>
    <row r="39" spans="1:22" x14ac:dyDescent="0.4">
      <c r="A39" s="12" t="str">
        <f t="shared" si="2"/>
        <v/>
      </c>
      <c r="B39" s="13">
        <f t="shared" si="3"/>
        <v>0</v>
      </c>
      <c r="C39" s="36" t="str">
        <f t="shared" si="21"/>
        <v/>
      </c>
      <c r="D39" s="14">
        <f t="shared" si="4"/>
        <v>0</v>
      </c>
      <c r="E39" s="13">
        <f t="shared" si="5"/>
        <v>0</v>
      </c>
      <c r="F39" s="13">
        <f t="shared" si="6"/>
        <v>0</v>
      </c>
      <c r="G39" s="13">
        <f t="shared" si="15"/>
        <v>0</v>
      </c>
      <c r="H39" s="13">
        <f t="shared" si="16"/>
        <v>0</v>
      </c>
      <c r="I39" s="13">
        <f t="shared" si="17"/>
        <v>0</v>
      </c>
      <c r="J39" s="13">
        <f t="shared" si="22"/>
        <v>0</v>
      </c>
      <c r="K39" s="13">
        <f t="shared" si="22"/>
        <v>0</v>
      </c>
      <c r="L39" s="13">
        <f t="shared" si="8"/>
        <v>0</v>
      </c>
      <c r="M39" s="13">
        <f t="shared" si="9"/>
        <v>0</v>
      </c>
      <c r="N39" s="18">
        <f t="shared" si="18"/>
        <v>0</v>
      </c>
      <c r="O39" s="18">
        <f t="shared" si="10"/>
        <v>0</v>
      </c>
      <c r="P39" s="22" t="str">
        <f t="shared" si="1"/>
        <v/>
      </c>
      <c r="Q39" s="23">
        <f t="shared" si="11"/>
        <v>0</v>
      </c>
      <c r="R39" s="23">
        <f t="shared" si="12"/>
        <v>0</v>
      </c>
      <c r="S39" s="23">
        <f t="shared" si="20"/>
        <v>0</v>
      </c>
      <c r="T39" s="24">
        <f t="shared" si="14"/>
        <v>0</v>
      </c>
      <c r="U39" s="242"/>
    </row>
    <row r="40" spans="1:22" x14ac:dyDescent="0.4">
      <c r="A40" s="12" t="str">
        <f t="shared" si="2"/>
        <v/>
      </c>
      <c r="B40" s="13">
        <f t="shared" si="3"/>
        <v>0</v>
      </c>
      <c r="C40" s="36" t="str">
        <f t="shared" si="21"/>
        <v/>
      </c>
      <c r="D40" s="14">
        <f t="shared" si="4"/>
        <v>0</v>
      </c>
      <c r="E40" s="13">
        <f t="shared" si="5"/>
        <v>0</v>
      </c>
      <c r="F40" s="13">
        <f t="shared" si="6"/>
        <v>0</v>
      </c>
      <c r="G40" s="13">
        <f t="shared" si="15"/>
        <v>0</v>
      </c>
      <c r="H40" s="13">
        <f t="shared" si="16"/>
        <v>0</v>
      </c>
      <c r="I40" s="13">
        <f t="shared" si="17"/>
        <v>0</v>
      </c>
      <c r="J40" s="13">
        <f t="shared" si="22"/>
        <v>0</v>
      </c>
      <c r="K40" s="13">
        <f t="shared" si="22"/>
        <v>0</v>
      </c>
      <c r="L40" s="13">
        <f t="shared" si="8"/>
        <v>0</v>
      </c>
      <c r="M40" s="13">
        <f t="shared" si="9"/>
        <v>0</v>
      </c>
      <c r="N40" s="18">
        <f t="shared" si="18"/>
        <v>0</v>
      </c>
      <c r="O40" s="18">
        <f t="shared" si="10"/>
        <v>0</v>
      </c>
      <c r="P40" s="22" t="str">
        <f t="shared" si="1"/>
        <v/>
      </c>
      <c r="Q40" s="23">
        <f t="shared" si="11"/>
        <v>0</v>
      </c>
      <c r="R40" s="23">
        <f t="shared" si="12"/>
        <v>0</v>
      </c>
      <c r="S40" s="23">
        <f t="shared" si="20"/>
        <v>0</v>
      </c>
      <c r="T40" s="24">
        <f t="shared" si="14"/>
        <v>0</v>
      </c>
      <c r="U40" s="242"/>
    </row>
    <row r="41" spans="1:22" x14ac:dyDescent="0.4">
      <c r="A41" s="12" t="str">
        <f t="shared" si="2"/>
        <v/>
      </c>
      <c r="B41" s="13">
        <f t="shared" si="3"/>
        <v>0</v>
      </c>
      <c r="C41" s="36" t="str">
        <f t="shared" si="21"/>
        <v/>
      </c>
      <c r="D41" s="14">
        <f t="shared" si="4"/>
        <v>0</v>
      </c>
      <c r="E41" s="13">
        <f t="shared" si="5"/>
        <v>0</v>
      </c>
      <c r="F41" s="13">
        <f t="shared" si="6"/>
        <v>0</v>
      </c>
      <c r="G41" s="13">
        <f t="shared" si="15"/>
        <v>0</v>
      </c>
      <c r="H41" s="13">
        <f t="shared" si="16"/>
        <v>0</v>
      </c>
      <c r="I41" s="13">
        <f t="shared" si="17"/>
        <v>0</v>
      </c>
      <c r="J41" s="13">
        <f t="shared" si="22"/>
        <v>0</v>
      </c>
      <c r="K41" s="13">
        <f t="shared" si="22"/>
        <v>0</v>
      </c>
      <c r="L41" s="13">
        <f t="shared" si="8"/>
        <v>0</v>
      </c>
      <c r="M41" s="13">
        <f t="shared" si="9"/>
        <v>0</v>
      </c>
      <c r="N41" s="18">
        <f t="shared" si="18"/>
        <v>0</v>
      </c>
      <c r="O41" s="18">
        <f t="shared" si="10"/>
        <v>0</v>
      </c>
      <c r="P41" s="22" t="str">
        <f t="shared" si="1"/>
        <v/>
      </c>
      <c r="Q41" s="23">
        <f t="shared" si="11"/>
        <v>0</v>
      </c>
      <c r="R41" s="23">
        <f t="shared" si="12"/>
        <v>0</v>
      </c>
      <c r="S41" s="23">
        <f t="shared" si="20"/>
        <v>0</v>
      </c>
      <c r="T41" s="24">
        <f t="shared" si="14"/>
        <v>0</v>
      </c>
      <c r="U41" s="242"/>
    </row>
    <row r="42" spans="1:22" x14ac:dyDescent="0.4">
      <c r="A42" s="12" t="str">
        <f t="shared" si="2"/>
        <v/>
      </c>
      <c r="B42" s="13">
        <f t="shared" si="3"/>
        <v>0</v>
      </c>
      <c r="C42" s="36" t="str">
        <f t="shared" si="21"/>
        <v/>
      </c>
      <c r="D42" s="14">
        <f t="shared" si="4"/>
        <v>0</v>
      </c>
      <c r="E42" s="13">
        <f t="shared" si="5"/>
        <v>0</v>
      </c>
      <c r="F42" s="13">
        <f t="shared" si="6"/>
        <v>0</v>
      </c>
      <c r="G42" s="13">
        <f t="shared" si="15"/>
        <v>0</v>
      </c>
      <c r="H42" s="13">
        <f t="shared" si="16"/>
        <v>0</v>
      </c>
      <c r="I42" s="13">
        <f t="shared" si="17"/>
        <v>0</v>
      </c>
      <c r="J42" s="13">
        <f t="shared" si="22"/>
        <v>0</v>
      </c>
      <c r="K42" s="13">
        <f t="shared" si="22"/>
        <v>0</v>
      </c>
      <c r="L42" s="13">
        <f t="shared" si="8"/>
        <v>0</v>
      </c>
      <c r="M42" s="13">
        <f t="shared" si="9"/>
        <v>0</v>
      </c>
      <c r="N42" s="18">
        <f t="shared" si="18"/>
        <v>0</v>
      </c>
      <c r="O42" s="18">
        <f t="shared" si="10"/>
        <v>0</v>
      </c>
      <c r="P42" s="22" t="str">
        <f t="shared" si="1"/>
        <v/>
      </c>
      <c r="Q42" s="23">
        <f t="shared" si="11"/>
        <v>0</v>
      </c>
      <c r="R42" s="23">
        <f t="shared" si="12"/>
        <v>0</v>
      </c>
      <c r="S42" s="23">
        <f t="shared" si="20"/>
        <v>0</v>
      </c>
      <c r="T42" s="24">
        <f t="shared" si="14"/>
        <v>0</v>
      </c>
      <c r="U42" s="242"/>
    </row>
    <row r="43" spans="1:22" x14ac:dyDescent="0.4">
      <c r="A43" s="12" t="str">
        <f t="shared" si="2"/>
        <v/>
      </c>
      <c r="B43" s="13">
        <f t="shared" si="3"/>
        <v>0</v>
      </c>
      <c r="C43" s="36" t="str">
        <f t="shared" si="21"/>
        <v/>
      </c>
      <c r="D43" s="14">
        <f t="shared" si="4"/>
        <v>0</v>
      </c>
      <c r="E43" s="13">
        <f t="shared" si="5"/>
        <v>0</v>
      </c>
      <c r="F43" s="13">
        <f t="shared" si="6"/>
        <v>0</v>
      </c>
      <c r="G43" s="13">
        <f t="shared" si="15"/>
        <v>0</v>
      </c>
      <c r="H43" s="13">
        <f t="shared" si="16"/>
        <v>0</v>
      </c>
      <c r="I43" s="13">
        <f t="shared" si="17"/>
        <v>0</v>
      </c>
      <c r="J43" s="13">
        <f t="shared" si="22"/>
        <v>0</v>
      </c>
      <c r="K43" s="13">
        <f t="shared" si="22"/>
        <v>0</v>
      </c>
      <c r="L43" s="13">
        <f t="shared" si="8"/>
        <v>0</v>
      </c>
      <c r="M43" s="13">
        <f t="shared" si="9"/>
        <v>0</v>
      </c>
      <c r="N43" s="18">
        <f t="shared" si="18"/>
        <v>0</v>
      </c>
      <c r="O43" s="18">
        <f t="shared" si="10"/>
        <v>0</v>
      </c>
      <c r="P43" s="22" t="str">
        <f>+A43</f>
        <v/>
      </c>
      <c r="Q43" s="23">
        <f t="shared" si="11"/>
        <v>0</v>
      </c>
      <c r="R43" s="23">
        <f t="shared" si="12"/>
        <v>0</v>
      </c>
      <c r="S43" s="23">
        <f t="shared" si="20"/>
        <v>0</v>
      </c>
      <c r="T43" s="24">
        <f t="shared" si="14"/>
        <v>0</v>
      </c>
      <c r="U43" s="242"/>
    </row>
    <row r="44" spans="1:22" x14ac:dyDescent="0.4">
      <c r="A44" s="12" t="str">
        <f t="shared" si="2"/>
        <v/>
      </c>
      <c r="B44" s="13">
        <f t="shared" si="3"/>
        <v>0</v>
      </c>
      <c r="C44" s="36" t="str">
        <f t="shared" si="21"/>
        <v/>
      </c>
      <c r="D44" s="14">
        <f t="shared" si="4"/>
        <v>0</v>
      </c>
      <c r="E44" s="13">
        <f t="shared" si="5"/>
        <v>0</v>
      </c>
      <c r="F44" s="13">
        <f t="shared" si="6"/>
        <v>0</v>
      </c>
      <c r="G44" s="13">
        <f t="shared" si="15"/>
        <v>0</v>
      </c>
      <c r="H44" s="13">
        <f t="shared" si="16"/>
        <v>0</v>
      </c>
      <c r="I44" s="13">
        <f t="shared" si="17"/>
        <v>0</v>
      </c>
      <c r="J44" s="13">
        <f t="shared" si="22"/>
        <v>0</v>
      </c>
      <c r="K44" s="13">
        <f t="shared" si="22"/>
        <v>0</v>
      </c>
      <c r="L44" s="13">
        <f t="shared" si="8"/>
        <v>0</v>
      </c>
      <c r="M44" s="13">
        <f t="shared" si="9"/>
        <v>0</v>
      </c>
      <c r="N44" s="18">
        <f t="shared" si="18"/>
        <v>0</v>
      </c>
      <c r="O44" s="18">
        <f t="shared" si="10"/>
        <v>0</v>
      </c>
      <c r="P44" s="22" t="str">
        <f t="shared" ref="P44" si="23">+A44</f>
        <v/>
      </c>
      <c r="Q44" s="23">
        <f t="shared" si="11"/>
        <v>0</v>
      </c>
      <c r="R44" s="23">
        <f t="shared" si="12"/>
        <v>0</v>
      </c>
      <c r="S44" s="23">
        <f t="shared" si="20"/>
        <v>0</v>
      </c>
      <c r="T44" s="24">
        <f t="shared" si="14"/>
        <v>0</v>
      </c>
      <c r="U44" s="242"/>
    </row>
    <row r="45" spans="1:22" s="5" customFormat="1" ht="18.75" thickBot="1" x14ac:dyDescent="0.45">
      <c r="A45" s="37" t="str">
        <f t="shared" si="2"/>
        <v/>
      </c>
      <c r="B45" s="38">
        <f t="shared" si="3"/>
        <v>0</v>
      </c>
      <c r="C45" s="39" t="str">
        <f t="shared" si="21"/>
        <v/>
      </c>
      <c r="D45" s="40">
        <f t="shared" si="4"/>
        <v>0</v>
      </c>
      <c r="E45" s="38">
        <f t="shared" si="5"/>
        <v>0</v>
      </c>
      <c r="F45" s="38">
        <f t="shared" si="6"/>
        <v>0</v>
      </c>
      <c r="G45" s="38">
        <f t="shared" si="15"/>
        <v>0</v>
      </c>
      <c r="H45" s="38">
        <f t="shared" si="16"/>
        <v>0</v>
      </c>
      <c r="I45" s="38">
        <f t="shared" si="17"/>
        <v>0</v>
      </c>
      <c r="J45" s="38">
        <f t="shared" si="22"/>
        <v>0</v>
      </c>
      <c r="K45" s="38">
        <f t="shared" si="22"/>
        <v>0</v>
      </c>
      <c r="L45" s="38">
        <f t="shared" si="8"/>
        <v>0</v>
      </c>
      <c r="M45" s="38">
        <f t="shared" si="9"/>
        <v>0</v>
      </c>
      <c r="N45" s="41">
        <f t="shared" si="18"/>
        <v>0</v>
      </c>
      <c r="O45" s="41">
        <f t="shared" si="10"/>
        <v>0</v>
      </c>
      <c r="P45" s="42" t="str">
        <f>+A45</f>
        <v/>
      </c>
      <c r="Q45" s="43">
        <f t="shared" si="11"/>
        <v>0</v>
      </c>
      <c r="R45" s="43">
        <f t="shared" si="12"/>
        <v>0</v>
      </c>
      <c r="S45" s="43">
        <f t="shared" si="20"/>
        <v>0</v>
      </c>
      <c r="T45" s="44">
        <f t="shared" si="14"/>
        <v>0</v>
      </c>
      <c r="U45" s="242"/>
    </row>
    <row r="46" spans="1:22" ht="18.75" thickBot="1" x14ac:dyDescent="0.45">
      <c r="A46" s="26">
        <f>MAX(A10:A45)</f>
        <v>54058</v>
      </c>
      <c r="B46" s="27">
        <f>MAX(B10:B45)</f>
        <v>24</v>
      </c>
      <c r="C46" s="27">
        <f>MAX(C10:C45)</f>
        <v>45700</v>
      </c>
      <c r="D46" s="28">
        <f>MAX(D10:D45)</f>
        <v>1.9400000000000013</v>
      </c>
      <c r="E46" s="27">
        <f>SUM(E10:E45)</f>
        <v>1063220</v>
      </c>
      <c r="F46" s="27">
        <f>SUM(F10:F45)</f>
        <v>1859820</v>
      </c>
      <c r="G46" s="27">
        <f>SUM(G9:G45)</f>
        <v>767070</v>
      </c>
      <c r="H46" s="27">
        <f>SUM(H9:H45)</f>
        <v>470998</v>
      </c>
      <c r="I46" s="27">
        <f>SUM(I10:I45)</f>
        <v>446359</v>
      </c>
      <c r="J46" s="27">
        <f t="shared" ref="J46:K46" si="24">SUM(J10:J45)</f>
        <v>3631206</v>
      </c>
      <c r="K46" s="27">
        <f t="shared" si="24"/>
        <v>2516811</v>
      </c>
      <c r="L46" s="27">
        <f>SUM(L10:L45)</f>
        <v>6148017</v>
      </c>
      <c r="M46" s="27">
        <f>MAX(M10:M45)</f>
        <v>6148017</v>
      </c>
      <c r="N46" s="27">
        <f>SUM(N10:N45)</f>
        <v>4317855</v>
      </c>
      <c r="O46" s="27">
        <f t="shared" ref="O46:T46" si="25">MAX(O10:O45)</f>
        <v>6516898</v>
      </c>
      <c r="P46" s="27">
        <f t="shared" si="25"/>
        <v>54058</v>
      </c>
      <c r="Q46" s="27">
        <f t="shared" si="25"/>
        <v>98.588621726605751</v>
      </c>
      <c r="R46" s="27">
        <f t="shared" si="25"/>
        <v>22387.424999999999</v>
      </c>
      <c r="S46" s="27">
        <f t="shared" si="25"/>
        <v>99475.729708274215</v>
      </c>
      <c r="T46" s="27">
        <f t="shared" si="25"/>
        <v>9807175</v>
      </c>
      <c r="U46" s="242"/>
      <c r="V46" s="1">
        <f>+T46*64%</f>
        <v>6276592</v>
      </c>
    </row>
    <row r="47" spans="1:22" x14ac:dyDescent="0.4">
      <c r="A47" s="250" t="s">
        <v>35</v>
      </c>
      <c r="B47" s="250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30"/>
      <c r="O47" s="30"/>
      <c r="P47" s="30"/>
      <c r="Q47" s="30"/>
      <c r="R47" s="30"/>
      <c r="S47" s="30"/>
      <c r="T47" s="30"/>
      <c r="U47" s="242"/>
    </row>
    <row r="48" spans="1:22" x14ac:dyDescent="0.4">
      <c r="A48" s="191" t="s">
        <v>39</v>
      </c>
      <c r="B48" s="192"/>
      <c r="C48" s="192"/>
      <c r="D48" s="192"/>
      <c r="E48" s="192"/>
      <c r="F48" s="45"/>
      <c r="G48" s="46" t="s">
        <v>57</v>
      </c>
      <c r="H48" s="45"/>
      <c r="I48" s="45"/>
      <c r="J48" s="45"/>
      <c r="K48" s="45"/>
      <c r="L48" s="45"/>
      <c r="M48" s="30"/>
      <c r="N48" s="30"/>
      <c r="O48" s="30"/>
      <c r="P48" s="30"/>
      <c r="Q48" s="30"/>
      <c r="R48" s="30"/>
      <c r="S48" s="30"/>
      <c r="T48" s="30"/>
      <c r="U48" s="242"/>
      <c r="V48" s="1">
        <f>SUM(V46:V47)</f>
        <v>6276592</v>
      </c>
    </row>
    <row r="49" spans="1:22" ht="18" customHeight="1" x14ac:dyDescent="0.4">
      <c r="A49" s="47" t="s">
        <v>36</v>
      </c>
      <c r="B49" s="193" t="s">
        <v>56</v>
      </c>
      <c r="C49" s="193"/>
      <c r="D49" s="193" t="s">
        <v>55</v>
      </c>
      <c r="E49" s="193"/>
      <c r="F49" s="45"/>
      <c r="G49" s="251" t="s">
        <v>58</v>
      </c>
      <c r="H49" s="251"/>
      <c r="I49" s="251"/>
      <c r="J49" s="251"/>
      <c r="K49" s="92"/>
      <c r="L49" s="92"/>
      <c r="M49" s="30"/>
      <c r="N49" s="30"/>
      <c r="O49" s="30"/>
      <c r="P49" s="30"/>
      <c r="Q49" s="30"/>
      <c r="R49" s="30"/>
      <c r="S49" s="30"/>
      <c r="T49" s="30"/>
      <c r="U49" s="242"/>
    </row>
    <row r="50" spans="1:22" x14ac:dyDescent="0.4">
      <c r="A50" s="47">
        <v>1</v>
      </c>
      <c r="B50" s="193" t="s">
        <v>17</v>
      </c>
      <c r="C50" s="193"/>
      <c r="D50" s="193">
        <f>+C46</f>
        <v>45700</v>
      </c>
      <c r="E50" s="193"/>
      <c r="F50" s="45"/>
      <c r="G50" s="251"/>
      <c r="H50" s="251"/>
      <c r="I50" s="251"/>
      <c r="J50" s="251"/>
      <c r="K50" s="92"/>
      <c r="L50" s="92"/>
      <c r="M50" s="30"/>
      <c r="N50" s="30"/>
      <c r="O50" s="30"/>
      <c r="P50" s="30"/>
      <c r="Q50" s="30"/>
      <c r="R50" s="30"/>
      <c r="S50" s="30"/>
      <c r="T50" s="30"/>
      <c r="U50" s="242"/>
    </row>
    <row r="51" spans="1:22" x14ac:dyDescent="0.4">
      <c r="A51" s="47">
        <v>2</v>
      </c>
      <c r="B51" s="193" t="s">
        <v>37</v>
      </c>
      <c r="C51" s="193"/>
      <c r="D51" s="193">
        <f>+D50/2</f>
        <v>22850</v>
      </c>
      <c r="E51" s="193"/>
      <c r="F51" s="45"/>
      <c r="G51" s="251"/>
      <c r="H51" s="251"/>
      <c r="I51" s="251"/>
      <c r="J51" s="251"/>
      <c r="K51" s="45"/>
      <c r="L51" s="45"/>
      <c r="M51" s="30"/>
      <c r="N51" s="30"/>
      <c r="O51" s="30"/>
      <c r="P51" s="30"/>
      <c r="Q51" s="30"/>
      <c r="R51" s="30"/>
      <c r="S51" s="30"/>
      <c r="T51" s="30"/>
      <c r="U51" s="242"/>
    </row>
    <row r="52" spans="1:22" x14ac:dyDescent="0.4">
      <c r="A52" s="47">
        <v>3</v>
      </c>
      <c r="B52" s="193" t="s">
        <v>19</v>
      </c>
      <c r="C52" s="193"/>
      <c r="D52" s="193">
        <f>ROUND(D51*D46,0)</f>
        <v>44329</v>
      </c>
      <c r="E52" s="193"/>
      <c r="F52" s="45"/>
      <c r="G52" s="251"/>
      <c r="H52" s="251"/>
      <c r="I52" s="251"/>
      <c r="J52" s="251"/>
      <c r="K52" s="45"/>
      <c r="L52" s="45"/>
      <c r="M52" s="30"/>
      <c r="N52" s="30"/>
      <c r="O52" s="30"/>
      <c r="P52" s="30"/>
      <c r="Q52" s="30"/>
      <c r="R52" s="30"/>
      <c r="S52" s="30"/>
      <c r="T52" s="30"/>
      <c r="U52" s="242"/>
      <c r="V52" s="1">
        <f>+T46/240</f>
        <v>40863.229166666664</v>
      </c>
    </row>
    <row r="53" spans="1:22" x14ac:dyDescent="0.4">
      <c r="A53" s="47">
        <v>4</v>
      </c>
      <c r="B53" s="193" t="s">
        <v>18</v>
      </c>
      <c r="C53" s="193"/>
      <c r="D53" s="193">
        <f>+D51+D52</f>
        <v>67179</v>
      </c>
      <c r="E53" s="193"/>
      <c r="F53" s="45"/>
      <c r="G53" s="251"/>
      <c r="H53" s="251"/>
      <c r="I53" s="251"/>
      <c r="J53" s="251"/>
      <c r="K53" s="45"/>
      <c r="L53" s="45"/>
      <c r="M53" s="30"/>
      <c r="N53" s="30"/>
      <c r="O53" s="30"/>
      <c r="P53" s="30"/>
      <c r="Q53" s="30"/>
      <c r="R53" s="30"/>
      <c r="S53" s="30"/>
      <c r="T53" s="30"/>
      <c r="U53" s="242"/>
    </row>
    <row r="54" spans="1:22" ht="32.25" customHeight="1" x14ac:dyDescent="0.4">
      <c r="A54" s="213" t="s">
        <v>62</v>
      </c>
      <c r="B54" s="213"/>
      <c r="C54" s="213"/>
      <c r="D54" s="213"/>
      <c r="E54" s="213"/>
      <c r="F54" s="45"/>
      <c r="G54" s="251"/>
      <c r="H54" s="251"/>
      <c r="I54" s="251"/>
      <c r="J54" s="251"/>
      <c r="K54" s="45"/>
      <c r="L54" s="45"/>
      <c r="M54" s="30"/>
      <c r="N54" s="30"/>
      <c r="O54" s="30"/>
      <c r="P54" s="30"/>
      <c r="Q54" s="30"/>
      <c r="R54" s="30"/>
      <c r="S54" s="30"/>
      <c r="T54" s="30"/>
      <c r="U54" s="242"/>
    </row>
    <row r="55" spans="1:22" x14ac:dyDescent="0.4">
      <c r="A55" s="203" t="s">
        <v>38</v>
      </c>
      <c r="B55" s="203"/>
      <c r="C55" s="203"/>
      <c r="D55" s="193">
        <f>+ROUND(D50*30%,0)</f>
        <v>13710</v>
      </c>
      <c r="E55" s="193"/>
      <c r="F55" s="45"/>
      <c r="G55" s="251"/>
      <c r="H55" s="251"/>
      <c r="I55" s="251"/>
      <c r="J55" s="251"/>
      <c r="K55" s="45"/>
      <c r="L55" s="45"/>
      <c r="M55" s="30"/>
      <c r="N55" s="30"/>
      <c r="O55" s="30"/>
      <c r="P55" s="30"/>
      <c r="Q55" s="30"/>
      <c r="R55" s="30"/>
      <c r="S55" s="30"/>
      <c r="T55" s="30"/>
      <c r="U55" s="242"/>
    </row>
    <row r="56" spans="1:22" x14ac:dyDescent="0.4">
      <c r="A56" s="203" t="s">
        <v>19</v>
      </c>
      <c r="B56" s="203"/>
      <c r="C56" s="203"/>
      <c r="D56" s="193">
        <f>ROUND(D55*D46,0)</f>
        <v>26597</v>
      </c>
      <c r="E56" s="193"/>
      <c r="F56" s="45"/>
      <c r="G56" s="251"/>
      <c r="H56" s="251"/>
      <c r="I56" s="251"/>
      <c r="J56" s="251"/>
      <c r="K56" s="45"/>
      <c r="L56" s="45"/>
      <c r="M56" s="30"/>
      <c r="N56" s="30"/>
      <c r="O56" s="30"/>
      <c r="P56" s="30"/>
      <c r="Q56" s="30"/>
      <c r="R56" s="30"/>
      <c r="S56" s="30"/>
      <c r="T56" s="30"/>
      <c r="U56" s="242"/>
    </row>
    <row r="57" spans="1:22" x14ac:dyDescent="0.4">
      <c r="A57" s="203" t="s">
        <v>21</v>
      </c>
      <c r="B57" s="203"/>
      <c r="C57" s="203"/>
      <c r="D57" s="193">
        <f>+D55+D56</f>
        <v>40307</v>
      </c>
      <c r="E57" s="193"/>
      <c r="F57" s="45"/>
      <c r="G57" s="45" t="s">
        <v>113</v>
      </c>
      <c r="H57" s="45"/>
      <c r="I57" s="114">
        <f>((D50*D46)+D50)*10</f>
        <v>1343580.0000000005</v>
      </c>
      <c r="J57" s="45"/>
      <c r="K57" s="45"/>
      <c r="L57" s="45"/>
      <c r="M57" s="30"/>
      <c r="N57" s="30"/>
      <c r="O57" s="30"/>
      <c r="P57" s="30"/>
      <c r="Q57" s="30"/>
      <c r="R57" s="30"/>
      <c r="S57" s="30"/>
      <c r="T57" s="30"/>
      <c r="U57" s="242"/>
    </row>
    <row r="58" spans="1:22" x14ac:dyDescent="0.4">
      <c r="A58" s="203"/>
      <c r="B58" s="203"/>
      <c r="C58" s="203"/>
      <c r="D58" s="193"/>
      <c r="E58" s="193"/>
      <c r="F58" s="45"/>
      <c r="G58" s="45"/>
      <c r="H58" s="45"/>
      <c r="I58" s="45"/>
      <c r="J58" s="45"/>
      <c r="K58" s="45"/>
      <c r="L58" s="45"/>
      <c r="M58" s="30"/>
      <c r="N58" s="30"/>
      <c r="O58" s="30"/>
      <c r="P58" s="30"/>
      <c r="Q58" s="30"/>
      <c r="R58" s="30"/>
      <c r="S58" s="30"/>
      <c r="T58" s="30"/>
      <c r="U58" s="242"/>
    </row>
    <row r="59" spans="1:22" ht="22.5" customHeight="1" x14ac:dyDescent="0.4">
      <c r="A59" s="253" t="s">
        <v>40</v>
      </c>
      <c r="B59" s="253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48"/>
      <c r="N59" s="30"/>
      <c r="O59" s="30"/>
      <c r="P59" s="30"/>
      <c r="Q59" s="30"/>
      <c r="R59" s="30"/>
      <c r="S59" s="30"/>
      <c r="T59" s="30"/>
      <c r="U59" s="242"/>
    </row>
    <row r="60" spans="1:22" x14ac:dyDescent="0.4">
      <c r="A60" s="204" t="s">
        <v>63</v>
      </c>
      <c r="B60" s="205"/>
      <c r="C60" s="206"/>
      <c r="D60" s="254">
        <f>+T46*40%</f>
        <v>3922870</v>
      </c>
      <c r="E60" s="255"/>
      <c r="F60" s="49">
        <f>ROUND((D60*8%)/12,0)</f>
        <v>26152</v>
      </c>
      <c r="G60" s="50"/>
      <c r="H60" s="52" t="s">
        <v>57</v>
      </c>
      <c r="I60" s="50"/>
      <c r="J60" s="50"/>
      <c r="K60" s="50"/>
      <c r="L60" s="50"/>
      <c r="M60" s="30"/>
      <c r="N60" s="30"/>
      <c r="O60" s="30"/>
      <c r="P60" s="30"/>
      <c r="Q60" s="30"/>
      <c r="R60" s="30"/>
      <c r="S60" s="30"/>
      <c r="T60" s="30"/>
      <c r="U60" s="242"/>
    </row>
    <row r="61" spans="1:22" x14ac:dyDescent="0.4">
      <c r="A61" s="208" t="s">
        <v>64</v>
      </c>
      <c r="B61" s="208"/>
      <c r="C61" s="208"/>
      <c r="D61" s="252">
        <f>+T46*60%</f>
        <v>5884305</v>
      </c>
      <c r="E61" s="252"/>
      <c r="F61" s="49">
        <f>ROUND((D61*8%)/12,0)</f>
        <v>39229</v>
      </c>
      <c r="G61" s="50"/>
      <c r="H61" s="50"/>
      <c r="I61" s="50"/>
      <c r="J61" s="50"/>
      <c r="K61" s="50"/>
      <c r="L61" s="50"/>
      <c r="M61" s="30"/>
      <c r="N61" s="30"/>
      <c r="O61" s="30"/>
      <c r="P61" s="30"/>
      <c r="Q61" s="30"/>
      <c r="R61" s="30"/>
      <c r="S61" s="30"/>
      <c r="T61" s="30"/>
      <c r="U61" s="242"/>
    </row>
    <row r="62" spans="1:22" x14ac:dyDescent="0.4">
      <c r="A62" s="208" t="s">
        <v>65</v>
      </c>
      <c r="B62" s="208"/>
      <c r="C62" s="208"/>
      <c r="D62" s="252">
        <f>SUM(D60:D61)</f>
        <v>9807175</v>
      </c>
      <c r="E62" s="252"/>
      <c r="F62" s="49">
        <f>SUM(F60:F61)</f>
        <v>65381</v>
      </c>
      <c r="G62" s="256" t="s">
        <v>61</v>
      </c>
      <c r="H62" s="256"/>
      <c r="I62" s="256"/>
      <c r="J62" s="256"/>
      <c r="K62" s="50"/>
      <c r="L62" s="50"/>
      <c r="M62" s="30"/>
      <c r="N62" s="30"/>
      <c r="O62" s="30"/>
      <c r="P62" s="30"/>
      <c r="Q62" s="30"/>
      <c r="R62" s="30"/>
      <c r="S62" s="30"/>
      <c r="T62" s="30"/>
      <c r="U62" s="242"/>
    </row>
    <row r="63" spans="1:22" x14ac:dyDescent="0.4">
      <c r="A63" s="210" t="s">
        <v>66</v>
      </c>
      <c r="B63" s="211"/>
      <c r="C63" s="211"/>
      <c r="D63" s="211"/>
      <c r="E63" s="212"/>
      <c r="F63" s="51">
        <f>+F62</f>
        <v>65381</v>
      </c>
      <c r="G63" s="256"/>
      <c r="H63" s="256"/>
      <c r="I63" s="256"/>
      <c r="J63" s="256"/>
      <c r="K63" s="50"/>
      <c r="L63" s="50"/>
      <c r="M63" s="30"/>
      <c r="N63" s="30"/>
      <c r="O63" s="30"/>
      <c r="P63" s="30"/>
      <c r="Q63" s="30"/>
      <c r="R63" s="30"/>
      <c r="S63" s="30"/>
      <c r="T63" s="30"/>
      <c r="U63" s="242"/>
    </row>
    <row r="64" spans="1:22" x14ac:dyDescent="0.4">
      <c r="A64" s="210" t="s">
        <v>67</v>
      </c>
      <c r="B64" s="211"/>
      <c r="C64" s="211"/>
      <c r="D64" s="211"/>
      <c r="E64" s="212"/>
      <c r="F64" s="51">
        <f>+F63-D53</f>
        <v>-1798</v>
      </c>
      <c r="G64" s="256"/>
      <c r="H64" s="256"/>
      <c r="I64" s="256"/>
      <c r="J64" s="256"/>
      <c r="K64" s="50"/>
      <c r="L64" s="50"/>
      <c r="M64" s="30"/>
      <c r="N64" s="30"/>
      <c r="O64" s="30"/>
      <c r="P64" s="30"/>
      <c r="Q64" s="30"/>
      <c r="R64" s="30"/>
      <c r="S64" s="30"/>
      <c r="T64" s="30"/>
      <c r="U64" s="242"/>
    </row>
    <row r="65" spans="1:21" x14ac:dyDescent="0.4">
      <c r="A65" s="50"/>
      <c r="B65" s="50"/>
      <c r="C65" s="50"/>
      <c r="D65" s="50"/>
      <c r="E65" s="50"/>
      <c r="F65" s="50"/>
      <c r="G65" s="256"/>
      <c r="H65" s="256"/>
      <c r="I65" s="256"/>
      <c r="J65" s="256"/>
      <c r="K65" s="50"/>
      <c r="L65" s="50"/>
      <c r="M65" s="30"/>
      <c r="N65" s="30"/>
      <c r="O65" s="30"/>
      <c r="P65" s="30"/>
      <c r="Q65" s="30"/>
      <c r="R65" s="30"/>
      <c r="S65" s="30"/>
      <c r="T65" s="30"/>
      <c r="U65" s="242"/>
    </row>
    <row r="66" spans="1:21" x14ac:dyDescent="0.4">
      <c r="A66" s="49" t="s">
        <v>36</v>
      </c>
      <c r="B66" s="252" t="s">
        <v>56</v>
      </c>
      <c r="C66" s="252"/>
      <c r="D66" s="252" t="s">
        <v>55</v>
      </c>
      <c r="E66" s="252"/>
      <c r="F66" s="50"/>
      <c r="G66" s="256"/>
      <c r="H66" s="256"/>
      <c r="I66" s="256"/>
      <c r="J66" s="256"/>
      <c r="K66" s="50"/>
      <c r="L66" s="50"/>
      <c r="M66" s="30"/>
      <c r="N66" s="30"/>
      <c r="O66" s="30"/>
      <c r="P66" s="30"/>
      <c r="Q66" s="30"/>
      <c r="R66" s="30"/>
      <c r="S66" s="30"/>
      <c r="T66" s="30"/>
      <c r="U66" s="242"/>
    </row>
    <row r="67" spans="1:21" ht="18" customHeight="1" x14ac:dyDescent="0.4">
      <c r="A67" s="49">
        <v>1</v>
      </c>
      <c r="B67" s="252" t="s">
        <v>17</v>
      </c>
      <c r="C67" s="252"/>
      <c r="D67" s="252">
        <f>+D50</f>
        <v>45700</v>
      </c>
      <c r="E67" s="252"/>
      <c r="F67" s="50"/>
      <c r="G67" s="256"/>
      <c r="H67" s="256"/>
      <c r="I67" s="256"/>
      <c r="J67" s="256"/>
      <c r="K67" s="93"/>
      <c r="L67" s="93"/>
      <c r="M67" s="30"/>
      <c r="N67" s="30"/>
      <c r="O67" s="30"/>
      <c r="P67" s="30"/>
      <c r="Q67" s="30"/>
      <c r="R67" s="30"/>
      <c r="S67" s="30"/>
      <c r="T67" s="30"/>
      <c r="U67" s="242"/>
    </row>
    <row r="68" spans="1:21" x14ac:dyDescent="0.4">
      <c r="A68" s="49">
        <v>2</v>
      </c>
      <c r="B68" s="252" t="s">
        <v>37</v>
      </c>
      <c r="C68" s="252"/>
      <c r="D68" s="252">
        <f>+D67/2</f>
        <v>22850</v>
      </c>
      <c r="E68" s="252"/>
      <c r="F68" s="50"/>
      <c r="G68" s="93"/>
      <c r="H68" s="93"/>
      <c r="I68" s="93"/>
      <c r="J68" s="93"/>
      <c r="K68" s="93"/>
      <c r="L68" s="93"/>
      <c r="M68" s="30"/>
      <c r="N68" s="30"/>
      <c r="O68" s="30"/>
      <c r="P68" s="30"/>
      <c r="Q68" s="30"/>
      <c r="R68" s="30"/>
      <c r="S68" s="30"/>
      <c r="T68" s="30"/>
      <c r="U68" s="242"/>
    </row>
    <row r="69" spans="1:21" x14ac:dyDescent="0.4">
      <c r="A69" s="49">
        <v>3</v>
      </c>
      <c r="B69" s="252" t="s">
        <v>19</v>
      </c>
      <c r="C69" s="252"/>
      <c r="D69" s="252">
        <f>ROUND(D68*D46,0)</f>
        <v>44329</v>
      </c>
      <c r="E69" s="252"/>
      <c r="F69" s="50"/>
      <c r="G69" s="52" t="s">
        <v>59</v>
      </c>
      <c r="H69" s="50"/>
      <c r="I69" s="50"/>
      <c r="J69" s="50"/>
      <c r="K69" s="50" cm="1">
        <f t="array" ref="K69">D68/2*MIN(66, DATEDIF(H5,H6,"Y")*2 + _xlfn.IFS(DATEDIF(H5,H6,"Ym")&gt;9, 2, DATEDIF(H5,H6,"Ym")&gt;3, 1, TRUE, 0))</f>
        <v>719775</v>
      </c>
      <c r="L69" s="50" t="s">
        <v>84</v>
      </c>
      <c r="M69" s="30"/>
      <c r="N69" s="30"/>
      <c r="O69" s="30"/>
      <c r="P69" s="30"/>
      <c r="Q69" s="30"/>
      <c r="R69" s="30"/>
      <c r="S69" s="30"/>
      <c r="T69" s="30"/>
      <c r="U69" s="242"/>
    </row>
    <row r="70" spans="1:21" x14ac:dyDescent="0.4">
      <c r="A70" s="49">
        <v>4</v>
      </c>
      <c r="B70" s="252" t="s">
        <v>116</v>
      </c>
      <c r="C70" s="252"/>
      <c r="D70" s="252">
        <f>+D68+D69</f>
        <v>67179</v>
      </c>
      <c r="E70" s="252"/>
      <c r="F70" s="50"/>
      <c r="G70" s="52" t="s">
        <v>60</v>
      </c>
      <c r="H70" s="50"/>
      <c r="I70" s="50"/>
      <c r="J70" s="50"/>
      <c r="K70" s="50"/>
      <c r="L70" s="50"/>
      <c r="M70" s="30"/>
      <c r="N70" s="30"/>
      <c r="O70" s="30"/>
      <c r="P70" s="30"/>
      <c r="Q70" s="30"/>
      <c r="R70" s="30"/>
      <c r="S70" s="30"/>
      <c r="T70" s="30"/>
      <c r="U70" s="242"/>
    </row>
    <row r="71" spans="1:21" x14ac:dyDescent="0.4">
      <c r="A71" s="258" t="s">
        <v>62</v>
      </c>
      <c r="B71" s="258"/>
      <c r="C71" s="258"/>
      <c r="D71" s="258"/>
      <c r="E71" s="258"/>
      <c r="F71" s="50"/>
      <c r="G71" s="45" t="s">
        <v>113</v>
      </c>
      <c r="H71" s="50"/>
      <c r="I71" s="115">
        <f>+I57</f>
        <v>1343580.0000000005</v>
      </c>
      <c r="J71" s="50"/>
      <c r="K71" s="50"/>
      <c r="L71" s="50"/>
      <c r="M71" s="30"/>
      <c r="N71" s="30"/>
      <c r="O71" s="30"/>
      <c r="P71" s="30"/>
      <c r="Q71" s="30"/>
      <c r="R71" s="30"/>
      <c r="S71" s="30"/>
      <c r="T71" s="30"/>
      <c r="U71" s="242"/>
    </row>
    <row r="72" spans="1:21" x14ac:dyDescent="0.4">
      <c r="A72" s="257" t="s">
        <v>38</v>
      </c>
      <c r="B72" s="257"/>
      <c r="C72" s="257"/>
      <c r="D72" s="252">
        <f>+ROUND(D67*30%,0)</f>
        <v>13710</v>
      </c>
      <c r="E72" s="252"/>
      <c r="F72" s="50"/>
      <c r="G72" s="50"/>
      <c r="H72" s="111">
        <f>+D60</f>
        <v>3922870</v>
      </c>
      <c r="I72" s="52" t="s">
        <v>81</v>
      </c>
      <c r="J72" s="50"/>
      <c r="K72" s="50"/>
      <c r="L72" s="50"/>
      <c r="M72" s="30"/>
      <c r="N72" s="30"/>
      <c r="O72" s="30"/>
      <c r="P72" s="30"/>
      <c r="Q72" s="30"/>
      <c r="R72" s="30"/>
      <c r="S72" s="30"/>
      <c r="T72" s="30"/>
      <c r="U72" s="242"/>
    </row>
    <row r="73" spans="1:21" x14ac:dyDescent="0.4">
      <c r="A73" s="257" t="s">
        <v>19</v>
      </c>
      <c r="B73" s="257"/>
      <c r="C73" s="257"/>
      <c r="D73" s="252">
        <f>ROUND(D72*D46,0)</f>
        <v>26597</v>
      </c>
      <c r="E73" s="252"/>
      <c r="F73" s="50"/>
      <c r="G73" s="50"/>
      <c r="H73" s="50"/>
      <c r="I73" s="50"/>
      <c r="J73" s="50"/>
      <c r="K73" s="50"/>
      <c r="L73" s="50"/>
      <c r="M73" s="30"/>
      <c r="N73" s="30"/>
      <c r="O73" s="30"/>
      <c r="P73" s="30"/>
      <c r="Q73" s="30"/>
      <c r="R73" s="30"/>
      <c r="S73" s="30"/>
      <c r="T73" s="30"/>
      <c r="U73" s="242"/>
    </row>
    <row r="74" spans="1:21" x14ac:dyDescent="0.4">
      <c r="A74" s="257" t="s">
        <v>21</v>
      </c>
      <c r="B74" s="257"/>
      <c r="C74" s="257"/>
      <c r="D74" s="252">
        <f>+D72+D73</f>
        <v>40307</v>
      </c>
      <c r="E74" s="252"/>
      <c r="F74" s="50"/>
      <c r="G74" s="50"/>
      <c r="H74" s="50"/>
      <c r="I74" s="50"/>
      <c r="J74" s="50"/>
      <c r="K74" s="50"/>
      <c r="L74" s="50"/>
      <c r="M74" s="30"/>
      <c r="N74" s="30"/>
      <c r="O74" s="30"/>
      <c r="P74" s="30"/>
      <c r="Q74" s="30"/>
      <c r="R74" s="30"/>
      <c r="S74" s="30"/>
      <c r="T74" s="30"/>
      <c r="U74" s="242"/>
    </row>
    <row r="75" spans="1:21" x14ac:dyDescent="0.4">
      <c r="A75" s="259" t="s">
        <v>41</v>
      </c>
      <c r="B75" s="260"/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30"/>
      <c r="N75" s="30"/>
      <c r="O75" s="30"/>
      <c r="P75" s="30"/>
      <c r="Q75" s="30"/>
      <c r="R75" s="30"/>
      <c r="S75" s="30"/>
      <c r="T75" s="30"/>
      <c r="U75" s="242"/>
    </row>
    <row r="76" spans="1:21" x14ac:dyDescent="0.4">
      <c r="A76" s="31"/>
      <c r="B76" s="5"/>
      <c r="C76" s="5"/>
      <c r="D76" s="32"/>
      <c r="E76" s="5"/>
      <c r="F76" s="34" t="s">
        <v>68</v>
      </c>
      <c r="G76" s="5"/>
      <c r="H76" s="5"/>
      <c r="I76" s="5"/>
      <c r="J76" s="34" t="s">
        <v>43</v>
      </c>
      <c r="K76" s="34"/>
      <c r="L76" s="5"/>
      <c r="M76" s="5"/>
      <c r="N76" s="30"/>
      <c r="O76" s="30"/>
      <c r="P76" s="30"/>
      <c r="Q76" s="30"/>
      <c r="R76" s="30"/>
      <c r="S76" s="30"/>
      <c r="T76" s="30"/>
      <c r="U76" s="242"/>
    </row>
    <row r="77" spans="1:21" x14ac:dyDescent="0.4">
      <c r="A77" s="53" t="s">
        <v>36</v>
      </c>
      <c r="B77" s="197" t="s">
        <v>56</v>
      </c>
      <c r="C77" s="197"/>
      <c r="D77" s="197" t="s">
        <v>55</v>
      </c>
      <c r="E77" s="197"/>
      <c r="F77" s="55"/>
      <c r="G77" s="55"/>
      <c r="H77" s="56" t="s">
        <v>69</v>
      </c>
      <c r="I77" s="53">
        <v>15</v>
      </c>
      <c r="J77" s="53">
        <v>10</v>
      </c>
      <c r="K77" s="55"/>
      <c r="L77" s="55"/>
      <c r="M77" s="30"/>
      <c r="N77" s="30"/>
      <c r="O77" s="30"/>
      <c r="P77" s="30"/>
      <c r="Q77" s="30"/>
      <c r="R77" s="30"/>
      <c r="S77" s="30"/>
      <c r="T77" s="30"/>
      <c r="U77" s="242"/>
    </row>
    <row r="78" spans="1:21" x14ac:dyDescent="0.4">
      <c r="A78" s="53">
        <v>1</v>
      </c>
      <c r="B78" s="197" t="s">
        <v>17</v>
      </c>
      <c r="C78" s="197"/>
      <c r="D78" s="197">
        <f>+D50</f>
        <v>45700</v>
      </c>
      <c r="E78" s="197"/>
      <c r="F78" s="55"/>
      <c r="G78" s="94">
        <f>+D78</f>
        <v>45700</v>
      </c>
      <c r="H78" s="55"/>
      <c r="I78" s="53">
        <f>+D78</f>
        <v>45700</v>
      </c>
      <c r="J78" s="53">
        <f>+D78</f>
        <v>45700</v>
      </c>
      <c r="K78" s="55"/>
      <c r="L78" s="55"/>
      <c r="M78" s="30"/>
      <c r="N78" s="30"/>
      <c r="O78" s="30"/>
      <c r="P78" s="30"/>
      <c r="Q78" s="30"/>
      <c r="R78" s="30"/>
      <c r="S78" s="30"/>
      <c r="T78" s="30"/>
      <c r="U78" s="242"/>
    </row>
    <row r="79" spans="1:21" x14ac:dyDescent="0.4">
      <c r="A79" s="53">
        <v>2</v>
      </c>
      <c r="B79" s="197" t="s">
        <v>37</v>
      </c>
      <c r="C79" s="197"/>
      <c r="D79" s="197">
        <f>+D78/2</f>
        <v>22850</v>
      </c>
      <c r="E79" s="197"/>
      <c r="F79" s="55"/>
      <c r="G79" s="53">
        <f>+G78/2</f>
        <v>22850</v>
      </c>
      <c r="H79" s="55"/>
      <c r="I79" s="53">
        <f>+G79*I77/20</f>
        <v>17137.5</v>
      </c>
      <c r="J79" s="53">
        <f>+G79*J77/20</f>
        <v>11425</v>
      </c>
      <c r="K79" s="55"/>
      <c r="L79" s="55"/>
      <c r="M79" s="30"/>
      <c r="N79" s="30"/>
      <c r="O79" s="30"/>
      <c r="P79" s="30"/>
      <c r="Q79" s="30"/>
      <c r="R79" s="30"/>
      <c r="S79" s="30"/>
      <c r="T79" s="30"/>
      <c r="U79" s="242"/>
    </row>
    <row r="80" spans="1:21" x14ac:dyDescent="0.4">
      <c r="A80" s="53">
        <v>3</v>
      </c>
      <c r="B80" s="197" t="s">
        <v>19</v>
      </c>
      <c r="C80" s="197"/>
      <c r="D80" s="197">
        <f>ROUND(D79*D46,0)</f>
        <v>44329</v>
      </c>
      <c r="E80" s="197"/>
      <c r="F80" s="55"/>
      <c r="G80" s="53">
        <f>G79*D46</f>
        <v>44329.000000000029</v>
      </c>
      <c r="H80" s="55"/>
      <c r="I80" s="53">
        <f>ROUND(I79*D46,0)</f>
        <v>33247</v>
      </c>
      <c r="J80" s="53">
        <f>ROUND(J79*D46,0)</f>
        <v>22165</v>
      </c>
      <c r="K80" s="55"/>
      <c r="L80" s="55"/>
      <c r="M80" s="30"/>
      <c r="N80" s="30"/>
      <c r="O80" s="30"/>
      <c r="P80" s="30"/>
      <c r="Q80" s="30"/>
      <c r="R80" s="30"/>
      <c r="S80" s="30"/>
      <c r="T80" s="30"/>
      <c r="U80" s="242"/>
    </row>
    <row r="81" spans="1:21" x14ac:dyDescent="0.4">
      <c r="A81" s="53">
        <v>4</v>
      </c>
      <c r="B81" s="197" t="s">
        <v>116</v>
      </c>
      <c r="C81" s="197"/>
      <c r="D81" s="197">
        <f>+D79+D80</f>
        <v>67179</v>
      </c>
      <c r="E81" s="197"/>
      <c r="F81" s="55"/>
      <c r="G81" s="57">
        <f>+G79+G80</f>
        <v>67179.000000000029</v>
      </c>
      <c r="H81" s="55"/>
      <c r="I81" s="57">
        <f>+I79+I80</f>
        <v>50384.5</v>
      </c>
      <c r="J81" s="57">
        <f>+J79+J80</f>
        <v>33590</v>
      </c>
      <c r="K81" s="55"/>
      <c r="L81" s="55"/>
      <c r="M81" s="30"/>
      <c r="N81" s="30"/>
      <c r="O81" s="30"/>
      <c r="P81" s="30"/>
      <c r="Q81" s="30"/>
      <c r="R81" s="30"/>
      <c r="S81" s="30"/>
      <c r="T81" s="30"/>
      <c r="U81" s="242"/>
    </row>
    <row r="82" spans="1:21" x14ac:dyDescent="0.4">
      <c r="A82" s="216" t="s">
        <v>62</v>
      </c>
      <c r="B82" s="216"/>
      <c r="C82" s="216"/>
      <c r="D82" s="216"/>
      <c r="E82" s="216"/>
      <c r="F82" s="55"/>
      <c r="G82" s="55"/>
      <c r="H82" s="55"/>
      <c r="I82" s="54" t="s">
        <v>44</v>
      </c>
      <c r="J82" s="55"/>
      <c r="K82" s="55"/>
      <c r="L82" s="55"/>
      <c r="M82" s="30"/>
      <c r="N82" s="30"/>
      <c r="O82" s="30"/>
      <c r="P82" s="30"/>
      <c r="Q82" s="30"/>
      <c r="R82" s="30"/>
      <c r="S82" s="30"/>
      <c r="T82" s="30"/>
      <c r="U82" s="242"/>
    </row>
    <row r="83" spans="1:21" x14ac:dyDescent="0.4">
      <c r="A83" s="224" t="s">
        <v>74</v>
      </c>
      <c r="B83" s="224"/>
      <c r="C83" s="224"/>
      <c r="D83" s="197">
        <f>+ROUND(D78*30%,0)</f>
        <v>13710</v>
      </c>
      <c r="E83" s="197"/>
      <c r="F83" s="55"/>
      <c r="G83" s="55"/>
      <c r="H83" s="55"/>
      <c r="I83" s="55">
        <f>(7500*D46)+7500</f>
        <v>22050.000000000007</v>
      </c>
      <c r="J83" s="55"/>
      <c r="K83" s="55"/>
      <c r="L83" s="55"/>
      <c r="M83" s="30"/>
      <c r="N83" s="30"/>
      <c r="O83" s="30"/>
      <c r="P83" s="30"/>
      <c r="Q83" s="30"/>
      <c r="R83" s="30"/>
      <c r="S83" s="30"/>
      <c r="T83" s="30"/>
      <c r="U83" s="242"/>
    </row>
    <row r="84" spans="1:21" x14ac:dyDescent="0.4">
      <c r="A84" s="224" t="s">
        <v>19</v>
      </c>
      <c r="B84" s="224"/>
      <c r="C84" s="224"/>
      <c r="D84" s="197">
        <f>ROUND(D83*D46,0)</f>
        <v>26597</v>
      </c>
      <c r="E84" s="197"/>
      <c r="F84" s="55"/>
      <c r="G84" s="112">
        <f>+D62</f>
        <v>9807175</v>
      </c>
      <c r="H84" s="54" t="s">
        <v>82</v>
      </c>
      <c r="I84" s="55"/>
      <c r="J84" s="55"/>
      <c r="K84" s="55">
        <f>+K69</f>
        <v>719775</v>
      </c>
      <c r="L84" s="50" t="s">
        <v>84</v>
      </c>
      <c r="M84" s="30"/>
      <c r="N84" s="30"/>
      <c r="O84" s="30"/>
      <c r="P84" s="30"/>
      <c r="Q84" s="30"/>
      <c r="R84" s="30"/>
      <c r="S84" s="30"/>
      <c r="T84" s="30"/>
      <c r="U84" s="242"/>
    </row>
    <row r="85" spans="1:21" x14ac:dyDescent="0.4">
      <c r="A85" s="224" t="s">
        <v>21</v>
      </c>
      <c r="B85" s="224"/>
      <c r="C85" s="224"/>
      <c r="D85" s="197">
        <f>+D83+D84</f>
        <v>40307</v>
      </c>
      <c r="E85" s="197"/>
      <c r="F85" s="55"/>
      <c r="G85" s="45" t="s">
        <v>113</v>
      </c>
      <c r="H85" s="50"/>
      <c r="I85" s="115">
        <f>+I71</f>
        <v>1343580.0000000005</v>
      </c>
      <c r="J85" s="55"/>
      <c r="K85" s="55"/>
      <c r="L85" s="55"/>
      <c r="M85" s="30"/>
      <c r="N85" s="30"/>
      <c r="O85" s="30"/>
      <c r="P85" s="30"/>
      <c r="Q85" s="30"/>
      <c r="R85" s="30"/>
      <c r="S85" s="30"/>
      <c r="T85" s="30"/>
      <c r="U85" s="242"/>
    </row>
    <row r="86" spans="1:21" x14ac:dyDescent="0.4">
      <c r="A86" s="31"/>
      <c r="B86" s="5"/>
      <c r="C86" s="5"/>
      <c r="D86" s="32"/>
      <c r="E86" s="5"/>
      <c r="F86" s="5"/>
      <c r="G86" s="5"/>
      <c r="H86" s="5"/>
      <c r="I86" s="5"/>
      <c r="J86" s="5"/>
      <c r="K86" s="5"/>
      <c r="L86" s="5"/>
      <c r="M86" s="5"/>
      <c r="N86" s="30"/>
      <c r="O86" s="30"/>
      <c r="P86" s="30"/>
      <c r="Q86" s="30"/>
      <c r="R86" s="30"/>
      <c r="S86" s="30"/>
      <c r="T86" s="30"/>
      <c r="U86" s="242"/>
    </row>
    <row r="87" spans="1:21" x14ac:dyDescent="0.4">
      <c r="A87" s="263" t="s">
        <v>42</v>
      </c>
      <c r="B87" s="264"/>
      <c r="C87" s="264"/>
      <c r="D87" s="264"/>
      <c r="E87" s="264"/>
      <c r="F87" s="264"/>
      <c r="G87" s="264"/>
      <c r="H87" s="264"/>
      <c r="I87" s="264"/>
      <c r="J87" s="264"/>
      <c r="K87" s="264"/>
      <c r="L87" s="264"/>
      <c r="M87" s="30"/>
      <c r="N87" s="30"/>
      <c r="O87" s="30"/>
      <c r="P87" s="30"/>
      <c r="Q87" s="30"/>
      <c r="R87" s="30"/>
      <c r="S87" s="30"/>
      <c r="T87" s="30"/>
    </row>
    <row r="88" spans="1:21" x14ac:dyDescent="0.4">
      <c r="A88" s="265" t="s">
        <v>75</v>
      </c>
      <c r="B88" s="265"/>
      <c r="C88" s="265"/>
      <c r="D88" s="265"/>
      <c r="E88" s="265"/>
      <c r="F88" s="265"/>
      <c r="G88" s="265"/>
      <c r="H88" s="265"/>
      <c r="I88" s="265"/>
      <c r="J88" s="265"/>
      <c r="K88" s="265"/>
      <c r="L88" s="265"/>
      <c r="M88" s="30"/>
      <c r="N88" s="30"/>
      <c r="O88" s="30"/>
      <c r="P88" s="30"/>
      <c r="Q88" s="30"/>
      <c r="R88" s="30"/>
      <c r="S88" s="30"/>
      <c r="T88" s="30"/>
    </row>
    <row r="89" spans="1:21" ht="41.25" customHeight="1" x14ac:dyDescent="0.4">
      <c r="A89" s="266" t="s">
        <v>45</v>
      </c>
      <c r="B89" s="267"/>
      <c r="C89" s="267"/>
      <c r="D89" s="268"/>
      <c r="E89" s="269" t="s">
        <v>79</v>
      </c>
      <c r="F89" s="270"/>
      <c r="G89" s="270"/>
      <c r="H89" s="267" t="s">
        <v>48</v>
      </c>
      <c r="I89" s="267"/>
      <c r="J89" s="102" t="s">
        <v>52</v>
      </c>
      <c r="K89" s="103" t="s">
        <v>53</v>
      </c>
      <c r="L89" s="104" t="s">
        <v>54</v>
      </c>
      <c r="M89" s="30"/>
      <c r="N89" s="30"/>
      <c r="O89" s="30"/>
      <c r="P89" s="30"/>
      <c r="Q89" s="30"/>
      <c r="R89" s="30"/>
      <c r="S89" s="30"/>
      <c r="T89" s="30"/>
    </row>
    <row r="90" spans="1:21" x14ac:dyDescent="0.4">
      <c r="A90" s="261" t="s">
        <v>76</v>
      </c>
      <c r="B90" s="262"/>
      <c r="C90" s="262"/>
      <c r="D90" s="271"/>
      <c r="E90" s="272" t="s">
        <v>78</v>
      </c>
      <c r="F90" s="273"/>
      <c r="G90" s="273"/>
      <c r="H90" s="95"/>
      <c r="I90" s="95"/>
      <c r="J90" s="107" t="str">
        <f>+H7</f>
        <v xml:space="preserve">31 Years, 6 Months, 15 Days </v>
      </c>
      <c r="K90" s="95"/>
      <c r="L90" s="97"/>
      <c r="M90" s="30"/>
      <c r="N90" s="30"/>
      <c r="O90" s="30"/>
      <c r="P90" s="30"/>
      <c r="Q90" s="30"/>
      <c r="R90" s="30"/>
      <c r="S90" s="30"/>
      <c r="T90" s="30"/>
    </row>
    <row r="91" spans="1:21" x14ac:dyDescent="0.4">
      <c r="A91" s="261" t="s">
        <v>17</v>
      </c>
      <c r="B91" s="262"/>
      <c r="C91" s="262"/>
      <c r="D91" s="97">
        <f>+D78</f>
        <v>45700</v>
      </c>
      <c r="E91" s="105" t="s">
        <v>70</v>
      </c>
      <c r="F91" s="95">
        <f>+D91</f>
        <v>45700</v>
      </c>
      <c r="G91" s="95"/>
      <c r="H91" s="95">
        <f>+D91</f>
        <v>45700</v>
      </c>
      <c r="I91" s="95"/>
      <c r="J91" s="95">
        <f>+D91</f>
        <v>45700</v>
      </c>
      <c r="K91" s="95">
        <f>+D91</f>
        <v>45700</v>
      </c>
      <c r="L91" s="97">
        <f>+F91</f>
        <v>45700</v>
      </c>
      <c r="M91" s="30"/>
      <c r="N91" s="30"/>
      <c r="O91" s="30"/>
      <c r="P91" s="30"/>
      <c r="Q91" s="30"/>
      <c r="R91" s="30"/>
      <c r="S91" s="30"/>
      <c r="T91" s="30"/>
    </row>
    <row r="92" spans="1:21" x14ac:dyDescent="0.4">
      <c r="A92" s="261" t="s">
        <v>37</v>
      </c>
      <c r="B92" s="262"/>
      <c r="C92" s="262"/>
      <c r="D92" s="97">
        <f>+D91/2</f>
        <v>22850</v>
      </c>
      <c r="E92" s="105" t="s">
        <v>71</v>
      </c>
      <c r="F92" s="95">
        <f>+DATEDIF(H5, H6, "m")</f>
        <v>378</v>
      </c>
      <c r="G92" s="95"/>
      <c r="H92" s="95">
        <f>+H91/2</f>
        <v>22850</v>
      </c>
      <c r="I92" s="95"/>
      <c r="J92" s="95">
        <f>J91/2</f>
        <v>22850</v>
      </c>
      <c r="K92" s="95">
        <f>K91/2</f>
        <v>22850</v>
      </c>
      <c r="L92" s="97">
        <f>(F92*2)/12</f>
        <v>63</v>
      </c>
      <c r="M92" s="30"/>
      <c r="N92" s="30"/>
      <c r="O92" s="30"/>
      <c r="P92" s="30"/>
      <c r="Q92" s="30"/>
      <c r="R92" s="30"/>
      <c r="S92" s="30"/>
      <c r="T92" s="30"/>
    </row>
    <row r="93" spans="1:21" x14ac:dyDescent="0.4">
      <c r="A93" s="261" t="s">
        <v>19</v>
      </c>
      <c r="B93" s="262"/>
      <c r="C93" s="262"/>
      <c r="D93" s="97">
        <f>ROUND(D92*D46,0)</f>
        <v>44329</v>
      </c>
      <c r="E93" s="98" t="s">
        <v>72</v>
      </c>
      <c r="F93" s="95">
        <f>ROUND(T46*36%,0)</f>
        <v>3530583</v>
      </c>
      <c r="G93" s="106" t="s">
        <v>49</v>
      </c>
      <c r="H93" s="95">
        <f>300/300</f>
        <v>1</v>
      </c>
      <c r="I93" s="95"/>
      <c r="J93" s="95">
        <f>IF(F92&gt;300,300/300,F92/300)</f>
        <v>1</v>
      </c>
      <c r="K93" s="95">
        <f>+IF(F92&gt;300,300/300,F92/300)</f>
        <v>1</v>
      </c>
      <c r="L93" s="97"/>
      <c r="M93" s="30"/>
      <c r="N93" s="30"/>
      <c r="O93" s="30"/>
      <c r="P93" s="30"/>
      <c r="Q93" s="30"/>
      <c r="R93" s="30"/>
      <c r="S93" s="30"/>
      <c r="T93" s="30"/>
    </row>
    <row r="94" spans="1:21" x14ac:dyDescent="0.4">
      <c r="A94" s="261" t="s">
        <v>18</v>
      </c>
      <c r="B94" s="262"/>
      <c r="C94" s="262"/>
      <c r="D94" s="97">
        <f>+D92+D93</f>
        <v>67179</v>
      </c>
      <c r="E94" s="98" t="s">
        <v>73</v>
      </c>
      <c r="F94" s="95">
        <f>+F93</f>
        <v>3530583</v>
      </c>
      <c r="G94" s="108" t="s">
        <v>77</v>
      </c>
      <c r="H94" s="95">
        <f>+F93/F94</f>
        <v>1</v>
      </c>
      <c r="I94" s="95"/>
      <c r="J94" s="95">
        <f>+F93/F94</f>
        <v>1</v>
      </c>
      <c r="K94" s="95">
        <f>3750000/F94</f>
        <v>1.0621475263433831</v>
      </c>
      <c r="L94" s="97"/>
      <c r="M94" s="30"/>
      <c r="N94" s="30"/>
      <c r="O94" s="30"/>
      <c r="P94" s="30"/>
      <c r="Q94" s="30"/>
      <c r="R94" s="30"/>
      <c r="S94" s="30"/>
      <c r="T94" s="30"/>
    </row>
    <row r="95" spans="1:21" x14ac:dyDescent="0.4">
      <c r="A95" s="98"/>
      <c r="B95" s="95"/>
      <c r="C95" s="95"/>
      <c r="D95" s="97"/>
      <c r="E95" s="98" t="s">
        <v>18</v>
      </c>
      <c r="F95" s="95"/>
      <c r="G95" s="95"/>
      <c r="H95" s="95">
        <f>ROUND((H91/2)*H93*H94,0)</f>
        <v>22850</v>
      </c>
      <c r="I95" s="95"/>
      <c r="J95" s="95">
        <f>+ROUND((J92)*J93*J94,0)</f>
        <v>22850</v>
      </c>
      <c r="K95" s="95">
        <f>ROUND((K92)*K93*K94,0)</f>
        <v>24270</v>
      </c>
      <c r="L95" s="97"/>
      <c r="M95" s="30"/>
      <c r="N95" s="30"/>
      <c r="O95" s="30"/>
      <c r="P95" s="30"/>
      <c r="Q95" s="30"/>
      <c r="R95" s="30"/>
      <c r="S95" s="30"/>
      <c r="T95" s="30"/>
    </row>
    <row r="96" spans="1:21" x14ac:dyDescent="0.4">
      <c r="A96" s="98"/>
      <c r="B96" s="95"/>
      <c r="C96" s="95"/>
      <c r="D96" s="97"/>
      <c r="E96" s="98" t="s">
        <v>50</v>
      </c>
      <c r="F96" s="95"/>
      <c r="G96" s="95"/>
      <c r="H96" s="95">
        <f>ROUND(H95*D46,0)</f>
        <v>44329</v>
      </c>
      <c r="I96" s="95"/>
      <c r="J96" s="95">
        <f>ROUND(J95*D46,0)</f>
        <v>44329</v>
      </c>
      <c r="K96" s="95">
        <f>ROUND(K95*D46,0)</f>
        <v>47084</v>
      </c>
      <c r="L96" s="97">
        <f>ROUND(L91*D46,0)</f>
        <v>88658</v>
      </c>
      <c r="M96" s="30"/>
      <c r="N96" s="30"/>
      <c r="O96" s="30"/>
      <c r="P96" s="30"/>
      <c r="Q96" s="30"/>
      <c r="R96" s="30"/>
      <c r="S96" s="30"/>
      <c r="T96" s="30"/>
    </row>
    <row r="97" spans="1:20" x14ac:dyDescent="0.4">
      <c r="A97" s="274" t="s">
        <v>74</v>
      </c>
      <c r="B97" s="275"/>
      <c r="C97" s="275"/>
      <c r="D97" s="97">
        <f>ROUND(D91*30%,0)</f>
        <v>13710</v>
      </c>
      <c r="E97" s="109" t="s">
        <v>51</v>
      </c>
      <c r="F97" s="95"/>
      <c r="G97" s="95"/>
      <c r="H97" s="95">
        <f>SUM(H95:H96)</f>
        <v>67179</v>
      </c>
      <c r="I97" s="95"/>
      <c r="J97" s="95">
        <f>SUM(J95:J96)</f>
        <v>67179</v>
      </c>
      <c r="K97" s="95">
        <f>SUM(K95:K96)</f>
        <v>71354</v>
      </c>
      <c r="L97" s="97">
        <f>ROUND((L96/10)*L92,0)</f>
        <v>558545</v>
      </c>
      <c r="M97" s="30">
        <f>+K84</f>
        <v>719775</v>
      </c>
      <c r="N97" s="30"/>
      <c r="O97" s="30"/>
      <c r="P97" s="30"/>
      <c r="Q97" s="30"/>
      <c r="R97" s="30"/>
      <c r="S97" s="30"/>
      <c r="T97" s="30"/>
    </row>
    <row r="98" spans="1:20" x14ac:dyDescent="0.4">
      <c r="A98" s="261" t="s">
        <v>47</v>
      </c>
      <c r="B98" s="262"/>
      <c r="C98" s="262"/>
      <c r="D98" s="97">
        <f>+ROUND(D97*D46,0)</f>
        <v>26597</v>
      </c>
      <c r="E98" s="98"/>
      <c r="F98" s="95"/>
      <c r="G98" s="95"/>
      <c r="H98" s="95"/>
      <c r="I98" s="95"/>
      <c r="J98" s="95"/>
      <c r="K98" s="95"/>
      <c r="L98" s="110" t="s">
        <v>80</v>
      </c>
      <c r="M98" s="30">
        <f>+M97-L97</f>
        <v>161230</v>
      </c>
      <c r="N98" s="113" t="s">
        <v>85</v>
      </c>
      <c r="O98" s="30"/>
      <c r="P98" s="30"/>
      <c r="Q98" s="30"/>
      <c r="R98" s="30"/>
      <c r="S98" s="30"/>
      <c r="T98" s="30"/>
    </row>
    <row r="99" spans="1:20" x14ac:dyDescent="0.4">
      <c r="A99" s="98"/>
      <c r="B99" s="96"/>
      <c r="C99" s="96"/>
      <c r="D99" s="97">
        <f>+D97+D98</f>
        <v>40307</v>
      </c>
      <c r="E99" s="98"/>
      <c r="F99" s="112">
        <f>+G84</f>
        <v>9807175</v>
      </c>
      <c r="G99" s="107" t="s">
        <v>82</v>
      </c>
      <c r="H99" s="95"/>
      <c r="I99" s="95"/>
      <c r="J99" s="95" t="s">
        <v>83</v>
      </c>
      <c r="K99" s="95"/>
      <c r="L99" s="97"/>
      <c r="M99" s="30"/>
      <c r="N99" s="30"/>
      <c r="O99" s="30"/>
      <c r="P99" s="30"/>
      <c r="Q99" s="30"/>
      <c r="R99" s="30"/>
      <c r="S99" s="30"/>
      <c r="T99" s="30"/>
    </row>
    <row r="100" spans="1:20" x14ac:dyDescent="0.4">
      <c r="A100" s="99"/>
      <c r="B100" s="100" t="s">
        <v>46</v>
      </c>
      <c r="C100" s="100"/>
      <c r="D100" s="101"/>
      <c r="E100" s="99"/>
      <c r="F100" s="45" t="s">
        <v>113</v>
      </c>
      <c r="G100" s="50"/>
      <c r="H100" s="115">
        <f>+I85</f>
        <v>1343580.0000000005</v>
      </c>
      <c r="I100" s="100"/>
      <c r="J100" s="100"/>
      <c r="K100" s="100"/>
      <c r="L100" s="101"/>
      <c r="M100" s="30"/>
      <c r="N100" s="30"/>
      <c r="O100" s="30"/>
      <c r="P100" s="30"/>
      <c r="Q100" s="30"/>
      <c r="R100" s="30"/>
      <c r="S100" s="30"/>
      <c r="T100" s="30"/>
    </row>
  </sheetData>
  <mergeCells count="87">
    <mergeCell ref="A92:C92"/>
    <mergeCell ref="A93:C93"/>
    <mergeCell ref="A94:C94"/>
    <mergeCell ref="A97:C97"/>
    <mergeCell ref="A98:C98"/>
    <mergeCell ref="A91:C91"/>
    <mergeCell ref="A84:C84"/>
    <mergeCell ref="D84:E84"/>
    <mergeCell ref="A85:C85"/>
    <mergeCell ref="D85:E85"/>
    <mergeCell ref="A87:L87"/>
    <mergeCell ref="A88:L88"/>
    <mergeCell ref="A89:D89"/>
    <mergeCell ref="E89:G89"/>
    <mergeCell ref="H89:I89"/>
    <mergeCell ref="A90:D90"/>
    <mergeCell ref="E90:G90"/>
    <mergeCell ref="A83:C83"/>
    <mergeCell ref="D83:E83"/>
    <mergeCell ref="A75:L75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A82:E82"/>
    <mergeCell ref="A74:C74"/>
    <mergeCell ref="D74:E74"/>
    <mergeCell ref="B68:C68"/>
    <mergeCell ref="D68:E68"/>
    <mergeCell ref="B69:C69"/>
    <mergeCell ref="D69:E69"/>
    <mergeCell ref="B70:C70"/>
    <mergeCell ref="D70:E70"/>
    <mergeCell ref="A71:E71"/>
    <mergeCell ref="A72:C72"/>
    <mergeCell ref="D72:E72"/>
    <mergeCell ref="A73:C73"/>
    <mergeCell ref="D73:E73"/>
    <mergeCell ref="A60:C60"/>
    <mergeCell ref="D60:E60"/>
    <mergeCell ref="A62:C62"/>
    <mergeCell ref="D62:E62"/>
    <mergeCell ref="G62:J67"/>
    <mergeCell ref="A63:E63"/>
    <mergeCell ref="A64:E64"/>
    <mergeCell ref="B66:C66"/>
    <mergeCell ref="D66:E66"/>
    <mergeCell ref="B67:C67"/>
    <mergeCell ref="D67:E67"/>
    <mergeCell ref="B52:C52"/>
    <mergeCell ref="D52:E52"/>
    <mergeCell ref="B53:C53"/>
    <mergeCell ref="D53:E53"/>
    <mergeCell ref="A61:C61"/>
    <mergeCell ref="D61:E61"/>
    <mergeCell ref="A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L59"/>
    <mergeCell ref="U2:U86"/>
    <mergeCell ref="C3:D3"/>
    <mergeCell ref="H5:I5"/>
    <mergeCell ref="H6:I6"/>
    <mergeCell ref="C7:D7"/>
    <mergeCell ref="K8:L8"/>
    <mergeCell ref="D9:E9"/>
    <mergeCell ref="A47:M47"/>
    <mergeCell ref="A48:E48"/>
    <mergeCell ref="B49:C49"/>
    <mergeCell ref="D49:E49"/>
    <mergeCell ref="G49:J56"/>
    <mergeCell ref="B50:C50"/>
    <mergeCell ref="D50:E50"/>
    <mergeCell ref="B51:C51"/>
    <mergeCell ref="D51:E51"/>
  </mergeCells>
  <pageMargins left="0.31496062992125984" right="0.11811023622047245" top="0.15748031496062992" bottom="0.35433070866141736" header="0" footer="0"/>
  <pageSetup paperSize="9" orientation="landscape" r:id="rId1"/>
  <rowBreaks count="2" manualBreakCount="2">
    <brk id="46" max="16383" man="1"/>
    <brk id="7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AA62-D005-41C1-A428-F80ED48D98CA}">
  <dimension ref="A1:V100"/>
  <sheetViews>
    <sheetView view="pageBreakPreview" zoomScale="130" zoomScaleNormal="175" zoomScaleSheetLayoutView="130" workbookViewId="0">
      <pane ySplit="2" topLeftCell="A9" activePane="bottomLeft" state="frozen"/>
      <selection pane="bottomLeft" activeCell="G85" sqref="G85"/>
    </sheetView>
  </sheetViews>
  <sheetFormatPr defaultRowHeight="18" x14ac:dyDescent="0.4"/>
  <cols>
    <col min="1" max="1" width="14.85546875" style="1" customWidth="1"/>
    <col min="2" max="2" width="9.140625" style="1" customWidth="1"/>
    <col min="3" max="3" width="10.7109375" style="1" customWidth="1"/>
    <col min="4" max="4" width="11.7109375" style="1" customWidth="1"/>
    <col min="5" max="5" width="10.28515625" style="1" customWidth="1"/>
    <col min="6" max="6" width="11.42578125" style="1" customWidth="1"/>
    <col min="7" max="7" width="9.7109375" style="1" customWidth="1"/>
    <col min="8" max="8" width="11" style="1" customWidth="1"/>
    <col min="9" max="9" width="15.140625" style="1" customWidth="1"/>
    <col min="10" max="10" width="12.28515625" style="1" customWidth="1"/>
    <col min="11" max="11" width="12.5703125" style="1" customWidth="1"/>
    <col min="12" max="12" width="11.85546875" style="1" customWidth="1"/>
    <col min="13" max="13" width="14.5703125" style="1" customWidth="1"/>
    <col min="14" max="14" width="13.140625" style="8" customWidth="1"/>
    <col min="15" max="15" width="11.7109375" style="8" customWidth="1"/>
    <col min="16" max="16" width="8.85546875" style="1" customWidth="1"/>
    <col min="17" max="17" width="9" style="1" bestFit="1" customWidth="1"/>
    <col min="18" max="18" width="9.5703125" style="1" bestFit="1" customWidth="1"/>
    <col min="19" max="19" width="10.7109375" style="1" bestFit="1" customWidth="1"/>
    <col min="20" max="20" width="13" style="1" customWidth="1"/>
    <col min="21" max="21" width="9.140625" style="1"/>
    <col min="22" max="22" width="12.42578125" style="1" bestFit="1" customWidth="1"/>
    <col min="23" max="16384" width="9.140625" style="1"/>
  </cols>
  <sheetData>
    <row r="1" spans="1:21" ht="3" customHeight="1" x14ac:dyDescent="0.4"/>
    <row r="2" spans="1:21" s="4" customFormat="1" ht="59.25" customHeight="1" x14ac:dyDescent="0.25">
      <c r="A2" s="6" t="s">
        <v>0</v>
      </c>
      <c r="B2" s="7" t="s">
        <v>34</v>
      </c>
      <c r="C2" s="7" t="s">
        <v>12</v>
      </c>
      <c r="D2" s="7" t="s">
        <v>3</v>
      </c>
      <c r="E2" s="7" t="s">
        <v>1</v>
      </c>
      <c r="F2" s="7" t="s">
        <v>2</v>
      </c>
      <c r="G2" s="7" t="s">
        <v>14</v>
      </c>
      <c r="H2" s="7" t="s">
        <v>13</v>
      </c>
      <c r="I2" s="7" t="s">
        <v>4</v>
      </c>
      <c r="J2" s="7" t="s">
        <v>15</v>
      </c>
      <c r="K2" s="7" t="s">
        <v>11</v>
      </c>
      <c r="L2" s="7" t="s">
        <v>20</v>
      </c>
      <c r="M2" s="7" t="s">
        <v>6</v>
      </c>
      <c r="N2" s="15" t="s">
        <v>5</v>
      </c>
      <c r="O2" s="15" t="s">
        <v>7</v>
      </c>
      <c r="P2" s="19" t="s">
        <v>9</v>
      </c>
      <c r="Q2" s="19" t="s">
        <v>8</v>
      </c>
      <c r="R2" s="19" t="s">
        <v>10</v>
      </c>
      <c r="S2" s="19" t="s">
        <v>16</v>
      </c>
      <c r="T2" s="19" t="s">
        <v>33</v>
      </c>
      <c r="U2" s="242"/>
    </row>
    <row r="3" spans="1:21" ht="18.75" customHeight="1" x14ac:dyDescent="0.4">
      <c r="A3" s="10" t="s">
        <v>32</v>
      </c>
      <c r="B3" s="11"/>
      <c r="C3" s="243">
        <v>46200</v>
      </c>
      <c r="D3" s="244"/>
      <c r="E3" s="2"/>
      <c r="F3" s="9"/>
      <c r="G3" s="3">
        <v>0.14000000000000001</v>
      </c>
      <c r="H3" s="3">
        <v>0.1</v>
      </c>
      <c r="I3" s="2"/>
      <c r="J3" s="3"/>
      <c r="K3" s="3"/>
      <c r="L3" s="3"/>
      <c r="M3" s="3"/>
      <c r="N3" s="16">
        <v>0.06</v>
      </c>
      <c r="O3" s="17"/>
      <c r="P3" s="20"/>
      <c r="Q3" s="21">
        <v>0.04</v>
      </c>
      <c r="R3" s="20"/>
      <c r="S3" s="20"/>
      <c r="T3" s="20"/>
      <c r="U3" s="242"/>
    </row>
    <row r="4" spans="1:21" x14ac:dyDescent="0.4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7">
        <v>14</v>
      </c>
      <c r="O4" s="17">
        <v>15</v>
      </c>
      <c r="P4" s="20">
        <v>16</v>
      </c>
      <c r="Q4" s="20">
        <v>17</v>
      </c>
      <c r="R4" s="20">
        <v>18</v>
      </c>
      <c r="S4" s="20">
        <v>19</v>
      </c>
      <c r="T4" s="20">
        <v>20</v>
      </c>
      <c r="U4" s="242"/>
    </row>
    <row r="5" spans="1:21" x14ac:dyDescent="0.4">
      <c r="A5" s="64" t="s">
        <v>24</v>
      </c>
      <c r="B5" s="65"/>
      <c r="C5" s="66" t="s">
        <v>87</v>
      </c>
      <c r="D5" s="65"/>
      <c r="E5" s="65"/>
      <c r="F5" s="67" t="s">
        <v>25</v>
      </c>
      <c r="G5" s="68"/>
      <c r="H5" s="245">
        <v>39561</v>
      </c>
      <c r="I5" s="245"/>
      <c r="J5" s="69"/>
      <c r="K5" s="70" t="s">
        <v>29</v>
      </c>
      <c r="L5" s="71">
        <f ca="1">TODAY()</f>
        <v>46229</v>
      </c>
      <c r="M5" s="69"/>
      <c r="N5" s="72"/>
      <c r="O5" s="73"/>
      <c r="P5" s="74"/>
      <c r="Q5" s="74"/>
      <c r="R5" s="74"/>
      <c r="S5" s="74"/>
      <c r="T5" s="75"/>
      <c r="U5" s="242"/>
    </row>
    <row r="6" spans="1:21" x14ac:dyDescent="0.4">
      <c r="A6" s="76" t="s">
        <v>22</v>
      </c>
      <c r="B6" s="77"/>
      <c r="C6" s="78" t="s">
        <v>88</v>
      </c>
      <c r="D6" s="77"/>
      <c r="E6" s="77"/>
      <c r="F6" s="79" t="s">
        <v>27</v>
      </c>
      <c r="G6" s="80"/>
      <c r="H6" s="246">
        <f>EOMONTH(C7-1,12*58)</f>
        <v>45716</v>
      </c>
      <c r="I6" s="246"/>
      <c r="J6" s="81"/>
      <c r="K6" s="82" t="s">
        <v>30</v>
      </c>
      <c r="L6" s="83" t="str">
        <f ca="1">+DATEDIF(H5,L5,"Y")&amp;" Years, "&amp;DATEDIF(H5,L5,"Ym")&amp;" Months, "&amp;DATEDIF(H5,L5,"md")&amp;" Days "</f>
        <v xml:space="preserve">18 Years, 3 Months, 3 Days </v>
      </c>
      <c r="M6" s="81"/>
      <c r="N6" s="33"/>
      <c r="O6" s="33"/>
      <c r="P6" s="84"/>
      <c r="Q6" s="84"/>
      <c r="R6" s="84"/>
      <c r="S6" s="84"/>
      <c r="T6" s="85"/>
      <c r="U6" s="242"/>
    </row>
    <row r="7" spans="1:21" x14ac:dyDescent="0.4">
      <c r="A7" s="76" t="s">
        <v>26</v>
      </c>
      <c r="B7" s="77"/>
      <c r="C7" s="247">
        <v>24508</v>
      </c>
      <c r="D7" s="247"/>
      <c r="E7" s="77"/>
      <c r="F7" s="86" t="s">
        <v>28</v>
      </c>
      <c r="G7" s="80"/>
      <c r="H7" s="87" t="str">
        <f>+DATEDIF(H5,H6,"Y")&amp;" Years, "&amp;DATEDIF(H5,H6,"Ym")&amp;" Months, "&amp;DATEDIF(H5,H6,"md")&amp;" Days "</f>
        <v xml:space="preserve">16 Years, 10 Months, 5 Days </v>
      </c>
      <c r="I7" s="80"/>
      <c r="J7" s="81"/>
      <c r="K7" s="81"/>
      <c r="L7" s="81"/>
      <c r="M7" s="81"/>
      <c r="N7" s="33"/>
      <c r="O7" s="33"/>
      <c r="P7" s="84"/>
      <c r="Q7" s="84"/>
      <c r="R7" s="84"/>
      <c r="S7" s="84"/>
      <c r="T7" s="85"/>
      <c r="U7" s="242"/>
    </row>
    <row r="8" spans="1:21" x14ac:dyDescent="0.4">
      <c r="A8" s="88" t="s">
        <v>31</v>
      </c>
      <c r="B8" s="89"/>
      <c r="C8" s="89"/>
      <c r="D8" s="89"/>
      <c r="E8" s="89"/>
      <c r="F8" s="89"/>
      <c r="G8" s="89"/>
      <c r="H8" s="89"/>
      <c r="I8" s="89"/>
      <c r="J8" s="89"/>
      <c r="K8" s="248">
        <v>2608734</v>
      </c>
      <c r="L8" s="248"/>
      <c r="M8" s="89"/>
      <c r="N8" s="89"/>
      <c r="O8" s="89"/>
      <c r="P8" s="89"/>
      <c r="Q8" s="89"/>
      <c r="R8" s="89"/>
      <c r="S8" s="89"/>
      <c r="T8" s="89"/>
      <c r="U8" s="242"/>
    </row>
    <row r="9" spans="1:21" x14ac:dyDescent="0.4">
      <c r="A9" s="90"/>
      <c r="B9" s="29"/>
      <c r="C9" s="29"/>
      <c r="D9" s="249"/>
      <c r="E9" s="249"/>
      <c r="F9" s="29"/>
      <c r="G9" s="91">
        <f>ROUND(K8*64%,0)</f>
        <v>1669590</v>
      </c>
      <c r="H9" s="91">
        <f>ROUND(K8*36%,0)</f>
        <v>939144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42"/>
    </row>
    <row r="10" spans="1:21" x14ac:dyDescent="0.4">
      <c r="A10" s="58">
        <v>45658</v>
      </c>
      <c r="B10" s="59">
        <v>1</v>
      </c>
      <c r="C10" s="35">
        <f>+C3</f>
        <v>46200</v>
      </c>
      <c r="D10" s="60">
        <v>0.56000000000000005</v>
      </c>
      <c r="E10" s="59">
        <f>ROUND(C10*D10,0)</f>
        <v>25872</v>
      </c>
      <c r="F10" s="59">
        <f>+C10+E10</f>
        <v>72072</v>
      </c>
      <c r="G10" s="59">
        <f>ROUND(F10*$G$3,0)</f>
        <v>10090</v>
      </c>
      <c r="H10" s="59">
        <f>ROUND(F10*$H$3,0)</f>
        <v>7207</v>
      </c>
      <c r="I10" s="59">
        <f>+G10+H10</f>
        <v>17297</v>
      </c>
      <c r="J10" s="59">
        <f>+G10*12+G9</f>
        <v>1790670</v>
      </c>
      <c r="K10" s="59">
        <f>+H10*12+H9</f>
        <v>1025628</v>
      </c>
      <c r="L10" s="59">
        <f>+J10+K10</f>
        <v>2816298</v>
      </c>
      <c r="M10" s="59">
        <f>+L10</f>
        <v>2816298</v>
      </c>
      <c r="N10" s="61">
        <f>ROUND(M10*$N$3,0)</f>
        <v>168978</v>
      </c>
      <c r="O10" s="61">
        <f>+M10+N10</f>
        <v>2985276</v>
      </c>
      <c r="P10" s="62">
        <f>+A10</f>
        <v>45658</v>
      </c>
      <c r="Q10" s="63">
        <v>40</v>
      </c>
      <c r="R10" s="25">
        <f>+M10/Q10</f>
        <v>70407.45</v>
      </c>
      <c r="S10" s="63">
        <f>+R10</f>
        <v>70407.45</v>
      </c>
      <c r="T10" s="25">
        <f>ROUND(Q10*S10,0)</f>
        <v>2816298</v>
      </c>
      <c r="U10" s="242"/>
    </row>
    <row r="11" spans="1:21" s="5" customFormat="1" x14ac:dyDescent="0.4">
      <c r="A11" s="12">
        <f>+IF($H$6&lt;=A10,"",DATE(YEAR(A10)+1,MONTH(A10),1))</f>
        <v>46023</v>
      </c>
      <c r="B11" s="13">
        <f>IF(OR(A11=0,A11=""),0,(B10+1))</f>
        <v>2</v>
      </c>
      <c r="C11" s="36"/>
      <c r="D11" s="14"/>
      <c r="E11" s="13"/>
      <c r="F11" s="13"/>
      <c r="G11" s="13"/>
      <c r="H11" s="13"/>
      <c r="I11" s="13"/>
      <c r="J11" s="13"/>
      <c r="K11" s="13">
        <f>+H11*12</f>
        <v>0</v>
      </c>
      <c r="L11" s="13">
        <f>+J11+K11</f>
        <v>0</v>
      </c>
      <c r="M11" s="13">
        <f>IF(OR(A11=0,A11=""),0,(L11+M10))</f>
        <v>2816298</v>
      </c>
      <c r="N11" s="18">
        <f>ROUND(M11*$N$3,0)</f>
        <v>168978</v>
      </c>
      <c r="O11" s="18">
        <f>+M11+N11</f>
        <v>2985276</v>
      </c>
      <c r="P11" s="22">
        <f t="shared" ref="P11:P42" si="0">+A11</f>
        <v>46023</v>
      </c>
      <c r="Q11" s="23"/>
      <c r="R11" s="23"/>
      <c r="S11" s="23"/>
      <c r="T11" s="24">
        <f t="shared" ref="T11:T45" si="1">ROUND(Q11*S11,0)</f>
        <v>0</v>
      </c>
      <c r="U11" s="242"/>
    </row>
    <row r="12" spans="1:21" x14ac:dyDescent="0.4">
      <c r="A12" s="12" t="str">
        <f t="shared" ref="A12:A45" si="2">+IF($H$6&lt;=A11,"",DATE(YEAR(A11)+1,MONTH(A11),1))</f>
        <v/>
      </c>
      <c r="B12" s="13">
        <f t="shared" ref="B12:B45" si="3">IF(OR(A12=0,A12=""),0,(B11+1))</f>
        <v>0</v>
      </c>
      <c r="C12" s="36" t="str">
        <f>+IF($H$6&lt;A11,"",IF(CEILING(C11*3%,100)-ROUND(C11*3%,0)&lt;=50,CEILING(C11*3%,100),CEILING(C11*3%,100)-100)+C11)</f>
        <v/>
      </c>
      <c r="D12" s="14">
        <f t="shared" ref="D12:D45" si="4">IF(OR(A12=0, A12=""), 0, (D11+6%))</f>
        <v>0</v>
      </c>
      <c r="E12" s="13">
        <f t="shared" ref="E12:E45" si="5">IF(OR(A12=0,A12=""),0,ROUND(C12*D12,0))</f>
        <v>0</v>
      </c>
      <c r="F12" s="13">
        <f t="shared" ref="F12:F45" si="6">IF(OR(A12=0,A12=""),0,(C12+E12))</f>
        <v>0</v>
      </c>
      <c r="G12" s="13">
        <f>ROUND(F12*$G$3,0)</f>
        <v>0</v>
      </c>
      <c r="H12" s="13">
        <f>ROUND(F12*$H$3,0)</f>
        <v>0</v>
      </c>
      <c r="I12" s="13">
        <f>+G12+H12</f>
        <v>0</v>
      </c>
      <c r="J12" s="13">
        <f t="shared" ref="J12:K27" si="7">+G12*12</f>
        <v>0</v>
      </c>
      <c r="K12" s="13">
        <f t="shared" si="7"/>
        <v>0</v>
      </c>
      <c r="L12" s="13">
        <f t="shared" ref="L12:L45" si="8">+J12+K12</f>
        <v>0</v>
      </c>
      <c r="M12" s="13">
        <f t="shared" ref="M12:M45" si="9">IF(OR(A12=0,A12=""),0,(L12+M11))</f>
        <v>0</v>
      </c>
      <c r="N12" s="18">
        <f>ROUND(M12*$N$3,0)</f>
        <v>0</v>
      </c>
      <c r="O12" s="18">
        <f t="shared" ref="O12:O45" si="10">+M12+N12</f>
        <v>0</v>
      </c>
      <c r="P12" s="22" t="str">
        <f t="shared" si="0"/>
        <v/>
      </c>
      <c r="Q12" s="23">
        <f t="shared" ref="Q12:Q45" si="11">IF(OR(A12=0,A12=""),0,(Q11*$Q$3+Q11))</f>
        <v>0</v>
      </c>
      <c r="R12" s="23">
        <f t="shared" ref="R12:R45" si="12">IF(OR(A12=0,A12=""),0,(L12/Q12))</f>
        <v>0</v>
      </c>
      <c r="S12" s="23">
        <f t="shared" ref="S12:S15" si="13">IF(OR(A12=0,A12=""),0,(S11+R12))</f>
        <v>0</v>
      </c>
      <c r="T12" s="24">
        <f t="shared" si="1"/>
        <v>0</v>
      </c>
      <c r="U12" s="242"/>
    </row>
    <row r="13" spans="1:21" s="5" customFormat="1" x14ac:dyDescent="0.4">
      <c r="A13" s="12" t="str">
        <f t="shared" si="2"/>
        <v/>
      </c>
      <c r="B13" s="13">
        <f t="shared" si="3"/>
        <v>0</v>
      </c>
      <c r="C13" s="36" t="str">
        <f>+IF($H$6&lt;A12,"",IF(CEILING(C12*3%,100)-ROUND(C12*3%,0)&lt;=50,CEILING(C12*3%,100),CEILING(C12*3%,100)-100)+C12)</f>
        <v/>
      </c>
      <c r="D13" s="14">
        <f t="shared" si="4"/>
        <v>0</v>
      </c>
      <c r="E13" s="13">
        <f t="shared" si="5"/>
        <v>0</v>
      </c>
      <c r="F13" s="13">
        <f t="shared" si="6"/>
        <v>0</v>
      </c>
      <c r="G13" s="13">
        <f t="shared" ref="G13:G45" si="14">ROUND(F13*$G$3,0)</f>
        <v>0</v>
      </c>
      <c r="H13" s="13">
        <f t="shared" ref="H13:H45" si="15">ROUND(F13*$H$3,0)</f>
        <v>0</v>
      </c>
      <c r="I13" s="13">
        <f t="shared" ref="I13:I45" si="16">+G13+H13</f>
        <v>0</v>
      </c>
      <c r="J13" s="13">
        <f t="shared" si="7"/>
        <v>0</v>
      </c>
      <c r="K13" s="13">
        <f t="shared" si="7"/>
        <v>0</v>
      </c>
      <c r="L13" s="13">
        <f t="shared" si="8"/>
        <v>0</v>
      </c>
      <c r="M13" s="13">
        <f t="shared" si="9"/>
        <v>0</v>
      </c>
      <c r="N13" s="18">
        <f t="shared" ref="N13:N45" si="17">ROUND(M13*$N$3,0)</f>
        <v>0</v>
      </c>
      <c r="O13" s="18">
        <f t="shared" si="10"/>
        <v>0</v>
      </c>
      <c r="P13" s="22" t="str">
        <f t="shared" si="0"/>
        <v/>
      </c>
      <c r="Q13" s="23">
        <f t="shared" si="11"/>
        <v>0</v>
      </c>
      <c r="R13" s="23">
        <f t="shared" si="12"/>
        <v>0</v>
      </c>
      <c r="S13" s="23">
        <f t="shared" si="13"/>
        <v>0</v>
      </c>
      <c r="T13" s="24">
        <f t="shared" si="1"/>
        <v>0</v>
      </c>
      <c r="U13" s="242"/>
    </row>
    <row r="14" spans="1:21" x14ac:dyDescent="0.4">
      <c r="A14" s="12" t="str">
        <f>+IF($H$6&lt;=A13,"",DATE(YEAR(A13)+1,MONTH(A13),1))</f>
        <v/>
      </c>
      <c r="B14" s="13">
        <f t="shared" si="3"/>
        <v>0</v>
      </c>
      <c r="C14" s="36" t="str">
        <f t="shared" ref="C14:C24" si="18">+IF($H$6&lt;A13,"",IF(CEILING(C13*3%,100)-ROUND(C13*3%,0)&lt;=50,CEILING(C13*3%,100),CEILING(C13*3%,100)-100)+C13)</f>
        <v/>
      </c>
      <c r="D14" s="14">
        <f t="shared" si="4"/>
        <v>0</v>
      </c>
      <c r="E14" s="13">
        <f t="shared" si="5"/>
        <v>0</v>
      </c>
      <c r="F14" s="13">
        <f t="shared" si="6"/>
        <v>0</v>
      </c>
      <c r="G14" s="13">
        <f t="shared" si="14"/>
        <v>0</v>
      </c>
      <c r="H14" s="13">
        <f t="shared" si="15"/>
        <v>0</v>
      </c>
      <c r="I14" s="13">
        <f t="shared" si="16"/>
        <v>0</v>
      </c>
      <c r="J14" s="13">
        <f t="shared" si="7"/>
        <v>0</v>
      </c>
      <c r="K14" s="13">
        <f t="shared" si="7"/>
        <v>0</v>
      </c>
      <c r="L14" s="13">
        <f t="shared" si="8"/>
        <v>0</v>
      </c>
      <c r="M14" s="13">
        <f t="shared" si="9"/>
        <v>0</v>
      </c>
      <c r="N14" s="18">
        <f t="shared" si="17"/>
        <v>0</v>
      </c>
      <c r="O14" s="18">
        <f t="shared" si="10"/>
        <v>0</v>
      </c>
      <c r="P14" s="22" t="str">
        <f t="shared" si="0"/>
        <v/>
      </c>
      <c r="Q14" s="23">
        <f t="shared" si="11"/>
        <v>0</v>
      </c>
      <c r="R14" s="23">
        <f t="shared" si="12"/>
        <v>0</v>
      </c>
      <c r="S14" s="23">
        <f t="shared" si="13"/>
        <v>0</v>
      </c>
      <c r="T14" s="24">
        <f t="shared" si="1"/>
        <v>0</v>
      </c>
      <c r="U14" s="242"/>
    </row>
    <row r="15" spans="1:21" s="5" customFormat="1" x14ac:dyDescent="0.4">
      <c r="A15" s="12" t="str">
        <f>+IF($H$6&lt;=A14,"",DATE(YEAR(A14)+1,MONTH(A14),1))</f>
        <v/>
      </c>
      <c r="B15" s="13">
        <f t="shared" si="3"/>
        <v>0</v>
      </c>
      <c r="C15" s="36" t="str">
        <f t="shared" si="18"/>
        <v/>
      </c>
      <c r="D15" s="14">
        <f t="shared" si="4"/>
        <v>0</v>
      </c>
      <c r="E15" s="13">
        <f t="shared" si="5"/>
        <v>0</v>
      </c>
      <c r="F15" s="13">
        <f t="shared" si="6"/>
        <v>0</v>
      </c>
      <c r="G15" s="13">
        <f t="shared" si="14"/>
        <v>0</v>
      </c>
      <c r="H15" s="13">
        <f t="shared" si="15"/>
        <v>0</v>
      </c>
      <c r="I15" s="13">
        <f t="shared" si="16"/>
        <v>0</v>
      </c>
      <c r="J15" s="13">
        <f t="shared" si="7"/>
        <v>0</v>
      </c>
      <c r="K15" s="13">
        <f t="shared" si="7"/>
        <v>0</v>
      </c>
      <c r="L15" s="13">
        <f t="shared" si="8"/>
        <v>0</v>
      </c>
      <c r="M15" s="13">
        <f t="shared" si="9"/>
        <v>0</v>
      </c>
      <c r="N15" s="18">
        <f t="shared" si="17"/>
        <v>0</v>
      </c>
      <c r="O15" s="18">
        <f t="shared" si="10"/>
        <v>0</v>
      </c>
      <c r="P15" s="22" t="str">
        <f t="shared" si="0"/>
        <v/>
      </c>
      <c r="Q15" s="23">
        <f t="shared" si="11"/>
        <v>0</v>
      </c>
      <c r="R15" s="23">
        <f t="shared" si="12"/>
        <v>0</v>
      </c>
      <c r="S15" s="23">
        <f t="shared" si="13"/>
        <v>0</v>
      </c>
      <c r="T15" s="24">
        <f t="shared" si="1"/>
        <v>0</v>
      </c>
      <c r="U15" s="242"/>
    </row>
    <row r="16" spans="1:21" x14ac:dyDescent="0.4">
      <c r="A16" s="12" t="str">
        <f t="shared" si="2"/>
        <v/>
      </c>
      <c r="B16" s="13">
        <f t="shared" si="3"/>
        <v>0</v>
      </c>
      <c r="C16" s="36" t="str">
        <f t="shared" si="18"/>
        <v/>
      </c>
      <c r="D16" s="14">
        <f t="shared" si="4"/>
        <v>0</v>
      </c>
      <c r="E16" s="13">
        <f t="shared" si="5"/>
        <v>0</v>
      </c>
      <c r="F16" s="13">
        <f t="shared" si="6"/>
        <v>0</v>
      </c>
      <c r="G16" s="13">
        <f t="shared" si="14"/>
        <v>0</v>
      </c>
      <c r="H16" s="13">
        <f t="shared" si="15"/>
        <v>0</v>
      </c>
      <c r="I16" s="13">
        <f t="shared" si="16"/>
        <v>0</v>
      </c>
      <c r="J16" s="13">
        <f t="shared" si="7"/>
        <v>0</v>
      </c>
      <c r="K16" s="13">
        <f t="shared" si="7"/>
        <v>0</v>
      </c>
      <c r="L16" s="13">
        <f t="shared" si="8"/>
        <v>0</v>
      </c>
      <c r="M16" s="13">
        <f t="shared" si="9"/>
        <v>0</v>
      </c>
      <c r="N16" s="18">
        <f t="shared" si="17"/>
        <v>0</v>
      </c>
      <c r="O16" s="18">
        <f t="shared" si="10"/>
        <v>0</v>
      </c>
      <c r="P16" s="22" t="str">
        <f t="shared" si="0"/>
        <v/>
      </c>
      <c r="Q16" s="23">
        <f t="shared" si="11"/>
        <v>0</v>
      </c>
      <c r="R16" s="23">
        <f t="shared" si="12"/>
        <v>0</v>
      </c>
      <c r="S16" s="23">
        <f>IF(OR(A16=0,A16=""),0,(S15+R16))</f>
        <v>0</v>
      </c>
      <c r="T16" s="24">
        <f t="shared" si="1"/>
        <v>0</v>
      </c>
      <c r="U16" s="242"/>
    </row>
    <row r="17" spans="1:21" s="5" customFormat="1" x14ac:dyDescent="0.4">
      <c r="A17" s="12" t="str">
        <f t="shared" si="2"/>
        <v/>
      </c>
      <c r="B17" s="13">
        <f t="shared" si="3"/>
        <v>0</v>
      </c>
      <c r="C17" s="36" t="str">
        <f t="shared" si="18"/>
        <v/>
      </c>
      <c r="D17" s="14">
        <f t="shared" si="4"/>
        <v>0</v>
      </c>
      <c r="E17" s="13">
        <f t="shared" si="5"/>
        <v>0</v>
      </c>
      <c r="F17" s="13">
        <f t="shared" si="6"/>
        <v>0</v>
      </c>
      <c r="G17" s="13">
        <f t="shared" si="14"/>
        <v>0</v>
      </c>
      <c r="H17" s="13">
        <f t="shared" si="15"/>
        <v>0</v>
      </c>
      <c r="I17" s="13">
        <f t="shared" si="16"/>
        <v>0</v>
      </c>
      <c r="J17" s="13">
        <f t="shared" si="7"/>
        <v>0</v>
      </c>
      <c r="K17" s="13">
        <f t="shared" si="7"/>
        <v>0</v>
      </c>
      <c r="L17" s="13">
        <f t="shared" si="8"/>
        <v>0</v>
      </c>
      <c r="M17" s="13">
        <f t="shared" si="9"/>
        <v>0</v>
      </c>
      <c r="N17" s="18">
        <f t="shared" si="17"/>
        <v>0</v>
      </c>
      <c r="O17" s="18">
        <f t="shared" si="10"/>
        <v>0</v>
      </c>
      <c r="P17" s="22" t="str">
        <f t="shared" si="0"/>
        <v/>
      </c>
      <c r="Q17" s="23">
        <f t="shared" si="11"/>
        <v>0</v>
      </c>
      <c r="R17" s="23">
        <f t="shared" si="12"/>
        <v>0</v>
      </c>
      <c r="S17" s="23">
        <f t="shared" ref="S17:S45" si="19">IF(OR(A17=0,A17=""),0,(S16+R17))</f>
        <v>0</v>
      </c>
      <c r="T17" s="24">
        <f t="shared" si="1"/>
        <v>0</v>
      </c>
      <c r="U17" s="242"/>
    </row>
    <row r="18" spans="1:21" x14ac:dyDescent="0.4">
      <c r="A18" s="12" t="str">
        <f t="shared" si="2"/>
        <v/>
      </c>
      <c r="B18" s="13">
        <f t="shared" si="3"/>
        <v>0</v>
      </c>
      <c r="C18" s="36" t="str">
        <f t="shared" si="18"/>
        <v/>
      </c>
      <c r="D18" s="14">
        <f t="shared" si="4"/>
        <v>0</v>
      </c>
      <c r="E18" s="13">
        <f t="shared" si="5"/>
        <v>0</v>
      </c>
      <c r="F18" s="13">
        <f t="shared" si="6"/>
        <v>0</v>
      </c>
      <c r="G18" s="13">
        <f t="shared" si="14"/>
        <v>0</v>
      </c>
      <c r="H18" s="13">
        <f t="shared" si="15"/>
        <v>0</v>
      </c>
      <c r="I18" s="13">
        <f t="shared" si="16"/>
        <v>0</v>
      </c>
      <c r="J18" s="13">
        <f t="shared" si="7"/>
        <v>0</v>
      </c>
      <c r="K18" s="13">
        <f t="shared" si="7"/>
        <v>0</v>
      </c>
      <c r="L18" s="13">
        <f t="shared" si="8"/>
        <v>0</v>
      </c>
      <c r="M18" s="13">
        <f t="shared" si="9"/>
        <v>0</v>
      </c>
      <c r="N18" s="18">
        <f t="shared" si="17"/>
        <v>0</v>
      </c>
      <c r="O18" s="18">
        <f t="shared" si="10"/>
        <v>0</v>
      </c>
      <c r="P18" s="22" t="str">
        <f t="shared" si="0"/>
        <v/>
      </c>
      <c r="Q18" s="23">
        <f t="shared" si="11"/>
        <v>0</v>
      </c>
      <c r="R18" s="23">
        <f t="shared" si="12"/>
        <v>0</v>
      </c>
      <c r="S18" s="23">
        <f t="shared" si="19"/>
        <v>0</v>
      </c>
      <c r="T18" s="24">
        <f t="shared" si="1"/>
        <v>0</v>
      </c>
      <c r="U18" s="242"/>
    </row>
    <row r="19" spans="1:21" s="5" customFormat="1" x14ac:dyDescent="0.4">
      <c r="A19" s="12" t="str">
        <f t="shared" si="2"/>
        <v/>
      </c>
      <c r="B19" s="13">
        <f t="shared" si="3"/>
        <v>0</v>
      </c>
      <c r="C19" s="36" t="str">
        <f t="shared" si="18"/>
        <v/>
      </c>
      <c r="D19" s="14">
        <f t="shared" si="4"/>
        <v>0</v>
      </c>
      <c r="E19" s="13">
        <f t="shared" si="5"/>
        <v>0</v>
      </c>
      <c r="F19" s="13">
        <f t="shared" si="6"/>
        <v>0</v>
      </c>
      <c r="G19" s="13">
        <f t="shared" si="14"/>
        <v>0</v>
      </c>
      <c r="H19" s="13">
        <f t="shared" si="15"/>
        <v>0</v>
      </c>
      <c r="I19" s="13">
        <f t="shared" si="16"/>
        <v>0</v>
      </c>
      <c r="J19" s="13">
        <f t="shared" si="7"/>
        <v>0</v>
      </c>
      <c r="K19" s="13">
        <f t="shared" si="7"/>
        <v>0</v>
      </c>
      <c r="L19" s="13">
        <f t="shared" si="8"/>
        <v>0</v>
      </c>
      <c r="M19" s="13">
        <f t="shared" si="9"/>
        <v>0</v>
      </c>
      <c r="N19" s="18">
        <f t="shared" si="17"/>
        <v>0</v>
      </c>
      <c r="O19" s="18">
        <f t="shared" si="10"/>
        <v>0</v>
      </c>
      <c r="P19" s="22" t="str">
        <f t="shared" si="0"/>
        <v/>
      </c>
      <c r="Q19" s="23">
        <f t="shared" si="11"/>
        <v>0</v>
      </c>
      <c r="R19" s="23">
        <f t="shared" si="12"/>
        <v>0</v>
      </c>
      <c r="S19" s="23">
        <f t="shared" si="19"/>
        <v>0</v>
      </c>
      <c r="T19" s="24">
        <f t="shared" si="1"/>
        <v>0</v>
      </c>
      <c r="U19" s="242"/>
    </row>
    <row r="20" spans="1:21" x14ac:dyDescent="0.4">
      <c r="A20" s="12" t="str">
        <f t="shared" si="2"/>
        <v/>
      </c>
      <c r="B20" s="13">
        <f t="shared" si="3"/>
        <v>0</v>
      </c>
      <c r="C20" s="36" t="str">
        <f t="shared" si="18"/>
        <v/>
      </c>
      <c r="D20" s="14">
        <f t="shared" si="4"/>
        <v>0</v>
      </c>
      <c r="E20" s="13">
        <f t="shared" si="5"/>
        <v>0</v>
      </c>
      <c r="F20" s="13">
        <f t="shared" si="6"/>
        <v>0</v>
      </c>
      <c r="G20" s="13">
        <f t="shared" si="14"/>
        <v>0</v>
      </c>
      <c r="H20" s="13">
        <f t="shared" si="15"/>
        <v>0</v>
      </c>
      <c r="I20" s="13">
        <f t="shared" si="16"/>
        <v>0</v>
      </c>
      <c r="J20" s="13">
        <f t="shared" si="7"/>
        <v>0</v>
      </c>
      <c r="K20" s="13">
        <f t="shared" si="7"/>
        <v>0</v>
      </c>
      <c r="L20" s="13">
        <f t="shared" si="8"/>
        <v>0</v>
      </c>
      <c r="M20" s="13">
        <f t="shared" si="9"/>
        <v>0</v>
      </c>
      <c r="N20" s="18">
        <f t="shared" si="17"/>
        <v>0</v>
      </c>
      <c r="O20" s="18">
        <f t="shared" si="10"/>
        <v>0</v>
      </c>
      <c r="P20" s="22" t="str">
        <f t="shared" si="0"/>
        <v/>
      </c>
      <c r="Q20" s="23">
        <f t="shared" si="11"/>
        <v>0</v>
      </c>
      <c r="R20" s="23">
        <f t="shared" si="12"/>
        <v>0</v>
      </c>
      <c r="S20" s="23">
        <f t="shared" si="19"/>
        <v>0</v>
      </c>
      <c r="T20" s="24">
        <f t="shared" si="1"/>
        <v>0</v>
      </c>
      <c r="U20" s="242"/>
    </row>
    <row r="21" spans="1:21" s="5" customFormat="1" x14ac:dyDescent="0.4">
      <c r="A21" s="12" t="str">
        <f t="shared" si="2"/>
        <v/>
      </c>
      <c r="B21" s="13">
        <f t="shared" si="3"/>
        <v>0</v>
      </c>
      <c r="C21" s="36" t="str">
        <f t="shared" si="18"/>
        <v/>
      </c>
      <c r="D21" s="14">
        <f t="shared" si="4"/>
        <v>0</v>
      </c>
      <c r="E21" s="13">
        <f t="shared" si="5"/>
        <v>0</v>
      </c>
      <c r="F21" s="13">
        <f t="shared" si="6"/>
        <v>0</v>
      </c>
      <c r="G21" s="13">
        <f t="shared" si="14"/>
        <v>0</v>
      </c>
      <c r="H21" s="13">
        <f t="shared" si="15"/>
        <v>0</v>
      </c>
      <c r="I21" s="13">
        <f t="shared" si="16"/>
        <v>0</v>
      </c>
      <c r="J21" s="13">
        <f t="shared" si="7"/>
        <v>0</v>
      </c>
      <c r="K21" s="13">
        <f t="shared" si="7"/>
        <v>0</v>
      </c>
      <c r="L21" s="13">
        <f t="shared" si="8"/>
        <v>0</v>
      </c>
      <c r="M21" s="13">
        <f t="shared" si="9"/>
        <v>0</v>
      </c>
      <c r="N21" s="18">
        <f t="shared" si="17"/>
        <v>0</v>
      </c>
      <c r="O21" s="18">
        <f t="shared" si="10"/>
        <v>0</v>
      </c>
      <c r="P21" s="22" t="str">
        <f t="shared" si="0"/>
        <v/>
      </c>
      <c r="Q21" s="23">
        <f t="shared" si="11"/>
        <v>0</v>
      </c>
      <c r="R21" s="23">
        <f t="shared" si="12"/>
        <v>0</v>
      </c>
      <c r="S21" s="23">
        <f t="shared" si="19"/>
        <v>0</v>
      </c>
      <c r="T21" s="24">
        <f t="shared" si="1"/>
        <v>0</v>
      </c>
      <c r="U21" s="242"/>
    </row>
    <row r="22" spans="1:21" x14ac:dyDescent="0.4">
      <c r="A22" s="12" t="str">
        <f t="shared" si="2"/>
        <v/>
      </c>
      <c r="B22" s="13">
        <f t="shared" si="3"/>
        <v>0</v>
      </c>
      <c r="C22" s="36" t="str">
        <f t="shared" si="18"/>
        <v/>
      </c>
      <c r="D22" s="14">
        <f t="shared" si="4"/>
        <v>0</v>
      </c>
      <c r="E22" s="13">
        <f t="shared" si="5"/>
        <v>0</v>
      </c>
      <c r="F22" s="13">
        <f t="shared" si="6"/>
        <v>0</v>
      </c>
      <c r="G22" s="13">
        <f t="shared" si="14"/>
        <v>0</v>
      </c>
      <c r="H22" s="13">
        <f t="shared" si="15"/>
        <v>0</v>
      </c>
      <c r="I22" s="13">
        <f t="shared" si="16"/>
        <v>0</v>
      </c>
      <c r="J22" s="13">
        <f t="shared" si="7"/>
        <v>0</v>
      </c>
      <c r="K22" s="13">
        <f t="shared" si="7"/>
        <v>0</v>
      </c>
      <c r="L22" s="13">
        <f t="shared" si="8"/>
        <v>0</v>
      </c>
      <c r="M22" s="13">
        <f t="shared" si="9"/>
        <v>0</v>
      </c>
      <c r="N22" s="18">
        <f t="shared" si="17"/>
        <v>0</v>
      </c>
      <c r="O22" s="18">
        <f t="shared" si="10"/>
        <v>0</v>
      </c>
      <c r="P22" s="22" t="str">
        <f t="shared" si="0"/>
        <v/>
      </c>
      <c r="Q22" s="23">
        <f t="shared" si="11"/>
        <v>0</v>
      </c>
      <c r="R22" s="23">
        <f t="shared" si="12"/>
        <v>0</v>
      </c>
      <c r="S22" s="23">
        <f t="shared" si="19"/>
        <v>0</v>
      </c>
      <c r="T22" s="24">
        <f t="shared" si="1"/>
        <v>0</v>
      </c>
      <c r="U22" s="242"/>
    </row>
    <row r="23" spans="1:21" s="5" customFormat="1" x14ac:dyDescent="0.4">
      <c r="A23" s="12" t="str">
        <f t="shared" si="2"/>
        <v/>
      </c>
      <c r="B23" s="13">
        <f t="shared" si="3"/>
        <v>0</v>
      </c>
      <c r="C23" s="36" t="str">
        <f t="shared" si="18"/>
        <v/>
      </c>
      <c r="D23" s="14">
        <f t="shared" si="4"/>
        <v>0</v>
      </c>
      <c r="E23" s="13">
        <f t="shared" si="5"/>
        <v>0</v>
      </c>
      <c r="F23" s="13">
        <f t="shared" si="6"/>
        <v>0</v>
      </c>
      <c r="G23" s="13">
        <f t="shared" si="14"/>
        <v>0</v>
      </c>
      <c r="H23" s="13">
        <f t="shared" si="15"/>
        <v>0</v>
      </c>
      <c r="I23" s="13">
        <f t="shared" si="16"/>
        <v>0</v>
      </c>
      <c r="J23" s="13">
        <f t="shared" si="7"/>
        <v>0</v>
      </c>
      <c r="K23" s="13">
        <f t="shared" si="7"/>
        <v>0</v>
      </c>
      <c r="L23" s="13">
        <f t="shared" si="8"/>
        <v>0</v>
      </c>
      <c r="M23" s="13">
        <f t="shared" si="9"/>
        <v>0</v>
      </c>
      <c r="N23" s="18">
        <f t="shared" si="17"/>
        <v>0</v>
      </c>
      <c r="O23" s="18">
        <f t="shared" si="10"/>
        <v>0</v>
      </c>
      <c r="P23" s="22" t="str">
        <f t="shared" si="0"/>
        <v/>
      </c>
      <c r="Q23" s="23">
        <f t="shared" si="11"/>
        <v>0</v>
      </c>
      <c r="R23" s="23">
        <f t="shared" si="12"/>
        <v>0</v>
      </c>
      <c r="S23" s="23">
        <f t="shared" si="19"/>
        <v>0</v>
      </c>
      <c r="T23" s="24">
        <f t="shared" si="1"/>
        <v>0</v>
      </c>
      <c r="U23" s="242"/>
    </row>
    <row r="24" spans="1:21" x14ac:dyDescent="0.4">
      <c r="A24" s="12" t="str">
        <f t="shared" si="2"/>
        <v/>
      </c>
      <c r="B24" s="13">
        <f t="shared" si="3"/>
        <v>0</v>
      </c>
      <c r="C24" s="36" t="str">
        <f t="shared" si="18"/>
        <v/>
      </c>
      <c r="D24" s="14">
        <f t="shared" si="4"/>
        <v>0</v>
      </c>
      <c r="E24" s="13">
        <f t="shared" si="5"/>
        <v>0</v>
      </c>
      <c r="F24" s="13">
        <f t="shared" si="6"/>
        <v>0</v>
      </c>
      <c r="G24" s="13">
        <f t="shared" si="14"/>
        <v>0</v>
      </c>
      <c r="H24" s="13">
        <f t="shared" si="15"/>
        <v>0</v>
      </c>
      <c r="I24" s="13">
        <f t="shared" si="16"/>
        <v>0</v>
      </c>
      <c r="J24" s="13">
        <f t="shared" si="7"/>
        <v>0</v>
      </c>
      <c r="K24" s="13">
        <f t="shared" si="7"/>
        <v>0</v>
      </c>
      <c r="L24" s="13">
        <f t="shared" si="8"/>
        <v>0</v>
      </c>
      <c r="M24" s="13">
        <f t="shared" si="9"/>
        <v>0</v>
      </c>
      <c r="N24" s="18">
        <f t="shared" si="17"/>
        <v>0</v>
      </c>
      <c r="O24" s="18">
        <f t="shared" si="10"/>
        <v>0</v>
      </c>
      <c r="P24" s="22" t="str">
        <f t="shared" si="0"/>
        <v/>
      </c>
      <c r="Q24" s="23">
        <f t="shared" si="11"/>
        <v>0</v>
      </c>
      <c r="R24" s="23">
        <f t="shared" si="12"/>
        <v>0</v>
      </c>
      <c r="S24" s="23">
        <f t="shared" si="19"/>
        <v>0</v>
      </c>
      <c r="T24" s="24">
        <f t="shared" si="1"/>
        <v>0</v>
      </c>
      <c r="U24" s="242"/>
    </row>
    <row r="25" spans="1:21" s="5" customFormat="1" x14ac:dyDescent="0.4">
      <c r="A25" s="12" t="str">
        <f t="shared" si="2"/>
        <v/>
      </c>
      <c r="B25" s="13">
        <f t="shared" si="3"/>
        <v>0</v>
      </c>
      <c r="C25" s="36" t="str">
        <f>+IF($H$6&lt;A24,"",IF(CEILING(C24*3%,100)-ROUND(C24*3%,0)&lt;=50,CEILING(C24*3%,100),CEILING(C24*3%,100)-100)+C24)</f>
        <v/>
      </c>
      <c r="D25" s="14">
        <f t="shared" si="4"/>
        <v>0</v>
      </c>
      <c r="E25" s="13">
        <f t="shared" si="5"/>
        <v>0</v>
      </c>
      <c r="F25" s="13">
        <f t="shared" si="6"/>
        <v>0</v>
      </c>
      <c r="G25" s="13">
        <f t="shared" si="14"/>
        <v>0</v>
      </c>
      <c r="H25" s="13">
        <f t="shared" si="15"/>
        <v>0</v>
      </c>
      <c r="I25" s="13">
        <f t="shared" si="16"/>
        <v>0</v>
      </c>
      <c r="J25" s="13">
        <f t="shared" si="7"/>
        <v>0</v>
      </c>
      <c r="K25" s="13">
        <f t="shared" si="7"/>
        <v>0</v>
      </c>
      <c r="L25" s="13">
        <f t="shared" si="8"/>
        <v>0</v>
      </c>
      <c r="M25" s="13">
        <f t="shared" si="9"/>
        <v>0</v>
      </c>
      <c r="N25" s="18">
        <f t="shared" si="17"/>
        <v>0</v>
      </c>
      <c r="O25" s="18">
        <f t="shared" si="10"/>
        <v>0</v>
      </c>
      <c r="P25" s="22" t="str">
        <f t="shared" si="0"/>
        <v/>
      </c>
      <c r="Q25" s="23">
        <f t="shared" si="11"/>
        <v>0</v>
      </c>
      <c r="R25" s="23">
        <f t="shared" si="12"/>
        <v>0</v>
      </c>
      <c r="S25" s="23">
        <f t="shared" si="19"/>
        <v>0</v>
      </c>
      <c r="T25" s="24">
        <f t="shared" si="1"/>
        <v>0</v>
      </c>
      <c r="U25" s="242"/>
    </row>
    <row r="26" spans="1:21" x14ac:dyDescent="0.4">
      <c r="A26" s="12" t="str">
        <f t="shared" si="2"/>
        <v/>
      </c>
      <c r="B26" s="13">
        <f t="shared" si="3"/>
        <v>0</v>
      </c>
      <c r="C26" s="36" t="str">
        <f t="shared" ref="C26:C45" si="20">+IF($H$6&lt;A25,"",IF(CEILING(C25*3%,100)-ROUND(C25*3%,0)&lt;=50,CEILING(C25*3%,100),CEILING(C25*3%,100)-100)+C25)</f>
        <v/>
      </c>
      <c r="D26" s="14">
        <f t="shared" si="4"/>
        <v>0</v>
      </c>
      <c r="E26" s="13">
        <f t="shared" si="5"/>
        <v>0</v>
      </c>
      <c r="F26" s="13">
        <f t="shared" si="6"/>
        <v>0</v>
      </c>
      <c r="G26" s="13">
        <f t="shared" si="14"/>
        <v>0</v>
      </c>
      <c r="H26" s="13">
        <f t="shared" si="15"/>
        <v>0</v>
      </c>
      <c r="I26" s="13">
        <f t="shared" si="16"/>
        <v>0</v>
      </c>
      <c r="J26" s="13">
        <f t="shared" si="7"/>
        <v>0</v>
      </c>
      <c r="K26" s="13">
        <f t="shared" si="7"/>
        <v>0</v>
      </c>
      <c r="L26" s="13">
        <f t="shared" si="8"/>
        <v>0</v>
      </c>
      <c r="M26" s="13">
        <f t="shared" si="9"/>
        <v>0</v>
      </c>
      <c r="N26" s="18">
        <f t="shared" si="17"/>
        <v>0</v>
      </c>
      <c r="O26" s="18">
        <f t="shared" si="10"/>
        <v>0</v>
      </c>
      <c r="P26" s="22" t="str">
        <f t="shared" si="0"/>
        <v/>
      </c>
      <c r="Q26" s="23">
        <f t="shared" si="11"/>
        <v>0</v>
      </c>
      <c r="R26" s="23">
        <f t="shared" si="12"/>
        <v>0</v>
      </c>
      <c r="S26" s="23">
        <f t="shared" si="19"/>
        <v>0</v>
      </c>
      <c r="T26" s="24">
        <f t="shared" si="1"/>
        <v>0</v>
      </c>
      <c r="U26" s="242"/>
    </row>
    <row r="27" spans="1:21" s="5" customFormat="1" x14ac:dyDescent="0.4">
      <c r="A27" s="12" t="str">
        <f t="shared" si="2"/>
        <v/>
      </c>
      <c r="B27" s="13">
        <f t="shared" si="3"/>
        <v>0</v>
      </c>
      <c r="C27" s="36" t="str">
        <f t="shared" si="20"/>
        <v/>
      </c>
      <c r="D27" s="14">
        <f t="shared" si="4"/>
        <v>0</v>
      </c>
      <c r="E27" s="13">
        <f t="shared" si="5"/>
        <v>0</v>
      </c>
      <c r="F27" s="13">
        <f t="shared" si="6"/>
        <v>0</v>
      </c>
      <c r="G27" s="13">
        <f t="shared" si="14"/>
        <v>0</v>
      </c>
      <c r="H27" s="13">
        <f t="shared" si="15"/>
        <v>0</v>
      </c>
      <c r="I27" s="13">
        <f t="shared" si="16"/>
        <v>0</v>
      </c>
      <c r="J27" s="13">
        <f t="shared" si="7"/>
        <v>0</v>
      </c>
      <c r="K27" s="13">
        <f t="shared" si="7"/>
        <v>0</v>
      </c>
      <c r="L27" s="13">
        <f t="shared" si="8"/>
        <v>0</v>
      </c>
      <c r="M27" s="13">
        <f t="shared" si="9"/>
        <v>0</v>
      </c>
      <c r="N27" s="18">
        <f t="shared" si="17"/>
        <v>0</v>
      </c>
      <c r="O27" s="18">
        <f t="shared" si="10"/>
        <v>0</v>
      </c>
      <c r="P27" s="22" t="str">
        <f t="shared" si="0"/>
        <v/>
      </c>
      <c r="Q27" s="23">
        <f t="shared" si="11"/>
        <v>0</v>
      </c>
      <c r="R27" s="23">
        <f t="shared" si="12"/>
        <v>0</v>
      </c>
      <c r="S27" s="23">
        <f t="shared" si="19"/>
        <v>0</v>
      </c>
      <c r="T27" s="24">
        <f t="shared" si="1"/>
        <v>0</v>
      </c>
      <c r="U27" s="242"/>
    </row>
    <row r="28" spans="1:21" x14ac:dyDescent="0.4">
      <c r="A28" s="12" t="str">
        <f t="shared" si="2"/>
        <v/>
      </c>
      <c r="B28" s="13">
        <f t="shared" si="3"/>
        <v>0</v>
      </c>
      <c r="C28" s="36" t="str">
        <f t="shared" si="20"/>
        <v/>
      </c>
      <c r="D28" s="14">
        <f t="shared" si="4"/>
        <v>0</v>
      </c>
      <c r="E28" s="13">
        <f t="shared" si="5"/>
        <v>0</v>
      </c>
      <c r="F28" s="13">
        <f t="shared" si="6"/>
        <v>0</v>
      </c>
      <c r="G28" s="13">
        <f t="shared" si="14"/>
        <v>0</v>
      </c>
      <c r="H28" s="13">
        <f t="shared" si="15"/>
        <v>0</v>
      </c>
      <c r="I28" s="13">
        <f t="shared" si="16"/>
        <v>0</v>
      </c>
      <c r="J28" s="13">
        <f t="shared" ref="J28:K45" si="21">+G28*12</f>
        <v>0</v>
      </c>
      <c r="K28" s="13">
        <f t="shared" si="21"/>
        <v>0</v>
      </c>
      <c r="L28" s="13">
        <f t="shared" si="8"/>
        <v>0</v>
      </c>
      <c r="M28" s="13">
        <f t="shared" si="9"/>
        <v>0</v>
      </c>
      <c r="N28" s="18">
        <f t="shared" si="17"/>
        <v>0</v>
      </c>
      <c r="O28" s="18">
        <f t="shared" si="10"/>
        <v>0</v>
      </c>
      <c r="P28" s="22" t="str">
        <f t="shared" si="0"/>
        <v/>
      </c>
      <c r="Q28" s="23">
        <f t="shared" si="11"/>
        <v>0</v>
      </c>
      <c r="R28" s="23">
        <f t="shared" si="12"/>
        <v>0</v>
      </c>
      <c r="S28" s="23">
        <f t="shared" si="19"/>
        <v>0</v>
      </c>
      <c r="T28" s="24">
        <f t="shared" si="1"/>
        <v>0</v>
      </c>
      <c r="U28" s="242"/>
    </row>
    <row r="29" spans="1:21" s="5" customFormat="1" x14ac:dyDescent="0.4">
      <c r="A29" s="12" t="str">
        <f t="shared" si="2"/>
        <v/>
      </c>
      <c r="B29" s="13">
        <f t="shared" si="3"/>
        <v>0</v>
      </c>
      <c r="C29" s="36" t="str">
        <f t="shared" si="20"/>
        <v/>
      </c>
      <c r="D29" s="14">
        <f t="shared" si="4"/>
        <v>0</v>
      </c>
      <c r="E29" s="13">
        <f t="shared" si="5"/>
        <v>0</v>
      </c>
      <c r="F29" s="13">
        <f t="shared" si="6"/>
        <v>0</v>
      </c>
      <c r="G29" s="13">
        <f t="shared" si="14"/>
        <v>0</v>
      </c>
      <c r="H29" s="13">
        <f t="shared" si="15"/>
        <v>0</v>
      </c>
      <c r="I29" s="13">
        <f t="shared" si="16"/>
        <v>0</v>
      </c>
      <c r="J29" s="13">
        <f t="shared" si="21"/>
        <v>0</v>
      </c>
      <c r="K29" s="13">
        <f t="shared" si="21"/>
        <v>0</v>
      </c>
      <c r="L29" s="13">
        <f t="shared" si="8"/>
        <v>0</v>
      </c>
      <c r="M29" s="13">
        <f t="shared" si="9"/>
        <v>0</v>
      </c>
      <c r="N29" s="18">
        <f t="shared" si="17"/>
        <v>0</v>
      </c>
      <c r="O29" s="18">
        <f t="shared" si="10"/>
        <v>0</v>
      </c>
      <c r="P29" s="22" t="str">
        <f t="shared" si="0"/>
        <v/>
      </c>
      <c r="Q29" s="23">
        <f t="shared" si="11"/>
        <v>0</v>
      </c>
      <c r="R29" s="23">
        <f t="shared" si="12"/>
        <v>0</v>
      </c>
      <c r="S29" s="23">
        <f t="shared" si="19"/>
        <v>0</v>
      </c>
      <c r="T29" s="24">
        <f t="shared" si="1"/>
        <v>0</v>
      </c>
      <c r="U29" s="242"/>
    </row>
    <row r="30" spans="1:21" x14ac:dyDescent="0.4">
      <c r="A30" s="12" t="str">
        <f t="shared" si="2"/>
        <v/>
      </c>
      <c r="B30" s="13">
        <f t="shared" si="3"/>
        <v>0</v>
      </c>
      <c r="C30" s="36" t="str">
        <f t="shared" si="20"/>
        <v/>
      </c>
      <c r="D30" s="14">
        <f t="shared" si="4"/>
        <v>0</v>
      </c>
      <c r="E30" s="13">
        <f t="shared" si="5"/>
        <v>0</v>
      </c>
      <c r="F30" s="13">
        <f t="shared" si="6"/>
        <v>0</v>
      </c>
      <c r="G30" s="13">
        <f t="shared" si="14"/>
        <v>0</v>
      </c>
      <c r="H30" s="13">
        <f t="shared" si="15"/>
        <v>0</v>
      </c>
      <c r="I30" s="13">
        <f t="shared" si="16"/>
        <v>0</v>
      </c>
      <c r="J30" s="13">
        <f t="shared" si="21"/>
        <v>0</v>
      </c>
      <c r="K30" s="13">
        <f t="shared" si="21"/>
        <v>0</v>
      </c>
      <c r="L30" s="13">
        <f t="shared" si="8"/>
        <v>0</v>
      </c>
      <c r="M30" s="13">
        <f t="shared" si="9"/>
        <v>0</v>
      </c>
      <c r="N30" s="18">
        <f t="shared" si="17"/>
        <v>0</v>
      </c>
      <c r="O30" s="18">
        <f t="shared" si="10"/>
        <v>0</v>
      </c>
      <c r="P30" s="22" t="str">
        <f t="shared" si="0"/>
        <v/>
      </c>
      <c r="Q30" s="23">
        <f t="shared" si="11"/>
        <v>0</v>
      </c>
      <c r="R30" s="23">
        <f t="shared" si="12"/>
        <v>0</v>
      </c>
      <c r="S30" s="23">
        <f t="shared" si="19"/>
        <v>0</v>
      </c>
      <c r="T30" s="24">
        <f t="shared" si="1"/>
        <v>0</v>
      </c>
      <c r="U30" s="242"/>
    </row>
    <row r="31" spans="1:21" s="5" customFormat="1" x14ac:dyDescent="0.4">
      <c r="A31" s="12" t="str">
        <f t="shared" si="2"/>
        <v/>
      </c>
      <c r="B31" s="13">
        <f t="shared" si="3"/>
        <v>0</v>
      </c>
      <c r="C31" s="36" t="str">
        <f t="shared" si="20"/>
        <v/>
      </c>
      <c r="D31" s="14">
        <f t="shared" si="4"/>
        <v>0</v>
      </c>
      <c r="E31" s="13">
        <f t="shared" si="5"/>
        <v>0</v>
      </c>
      <c r="F31" s="13">
        <f t="shared" si="6"/>
        <v>0</v>
      </c>
      <c r="G31" s="13">
        <f t="shared" si="14"/>
        <v>0</v>
      </c>
      <c r="H31" s="13">
        <f t="shared" si="15"/>
        <v>0</v>
      </c>
      <c r="I31" s="13">
        <f t="shared" si="16"/>
        <v>0</v>
      </c>
      <c r="J31" s="13">
        <f t="shared" si="21"/>
        <v>0</v>
      </c>
      <c r="K31" s="13">
        <f t="shared" si="21"/>
        <v>0</v>
      </c>
      <c r="L31" s="13">
        <f t="shared" si="8"/>
        <v>0</v>
      </c>
      <c r="M31" s="13">
        <f t="shared" si="9"/>
        <v>0</v>
      </c>
      <c r="N31" s="18">
        <f t="shared" si="17"/>
        <v>0</v>
      </c>
      <c r="O31" s="18">
        <f t="shared" si="10"/>
        <v>0</v>
      </c>
      <c r="P31" s="22" t="str">
        <f t="shared" si="0"/>
        <v/>
      </c>
      <c r="Q31" s="23">
        <f t="shared" si="11"/>
        <v>0</v>
      </c>
      <c r="R31" s="23">
        <f t="shared" si="12"/>
        <v>0</v>
      </c>
      <c r="S31" s="23">
        <f t="shared" si="19"/>
        <v>0</v>
      </c>
      <c r="T31" s="24">
        <f t="shared" si="1"/>
        <v>0</v>
      </c>
      <c r="U31" s="242"/>
    </row>
    <row r="32" spans="1:21" x14ac:dyDescent="0.4">
      <c r="A32" s="12" t="str">
        <f t="shared" si="2"/>
        <v/>
      </c>
      <c r="B32" s="13">
        <f t="shared" si="3"/>
        <v>0</v>
      </c>
      <c r="C32" s="36" t="str">
        <f t="shared" si="20"/>
        <v/>
      </c>
      <c r="D32" s="14">
        <f t="shared" si="4"/>
        <v>0</v>
      </c>
      <c r="E32" s="13">
        <f t="shared" si="5"/>
        <v>0</v>
      </c>
      <c r="F32" s="13">
        <f t="shared" si="6"/>
        <v>0</v>
      </c>
      <c r="G32" s="13">
        <f t="shared" si="14"/>
        <v>0</v>
      </c>
      <c r="H32" s="13">
        <f t="shared" si="15"/>
        <v>0</v>
      </c>
      <c r="I32" s="13">
        <f t="shared" si="16"/>
        <v>0</v>
      </c>
      <c r="J32" s="13">
        <f t="shared" si="21"/>
        <v>0</v>
      </c>
      <c r="K32" s="13">
        <f t="shared" si="21"/>
        <v>0</v>
      </c>
      <c r="L32" s="13">
        <f t="shared" si="8"/>
        <v>0</v>
      </c>
      <c r="M32" s="13">
        <f t="shared" si="9"/>
        <v>0</v>
      </c>
      <c r="N32" s="18">
        <f t="shared" si="17"/>
        <v>0</v>
      </c>
      <c r="O32" s="18">
        <f t="shared" si="10"/>
        <v>0</v>
      </c>
      <c r="P32" s="22" t="str">
        <f t="shared" si="0"/>
        <v/>
      </c>
      <c r="Q32" s="23">
        <f t="shared" si="11"/>
        <v>0</v>
      </c>
      <c r="R32" s="23">
        <f t="shared" si="12"/>
        <v>0</v>
      </c>
      <c r="S32" s="23">
        <f t="shared" si="19"/>
        <v>0</v>
      </c>
      <c r="T32" s="24">
        <f t="shared" si="1"/>
        <v>0</v>
      </c>
      <c r="U32" s="242"/>
    </row>
    <row r="33" spans="1:22" x14ac:dyDescent="0.4">
      <c r="A33" s="12" t="str">
        <f t="shared" si="2"/>
        <v/>
      </c>
      <c r="B33" s="13">
        <f t="shared" si="3"/>
        <v>0</v>
      </c>
      <c r="C33" s="36" t="str">
        <f t="shared" si="20"/>
        <v/>
      </c>
      <c r="D33" s="14">
        <f t="shared" si="4"/>
        <v>0</v>
      </c>
      <c r="E33" s="13">
        <f t="shared" si="5"/>
        <v>0</v>
      </c>
      <c r="F33" s="13">
        <f t="shared" si="6"/>
        <v>0</v>
      </c>
      <c r="G33" s="13">
        <f t="shared" si="14"/>
        <v>0</v>
      </c>
      <c r="H33" s="13">
        <f t="shared" si="15"/>
        <v>0</v>
      </c>
      <c r="I33" s="13">
        <f t="shared" si="16"/>
        <v>0</v>
      </c>
      <c r="J33" s="13">
        <f t="shared" si="21"/>
        <v>0</v>
      </c>
      <c r="K33" s="13">
        <f t="shared" si="21"/>
        <v>0</v>
      </c>
      <c r="L33" s="13">
        <f t="shared" si="8"/>
        <v>0</v>
      </c>
      <c r="M33" s="13">
        <f t="shared" si="9"/>
        <v>0</v>
      </c>
      <c r="N33" s="18">
        <f t="shared" si="17"/>
        <v>0</v>
      </c>
      <c r="O33" s="18">
        <f t="shared" si="10"/>
        <v>0</v>
      </c>
      <c r="P33" s="22" t="str">
        <f t="shared" si="0"/>
        <v/>
      </c>
      <c r="Q33" s="23">
        <f t="shared" si="11"/>
        <v>0</v>
      </c>
      <c r="R33" s="23">
        <f t="shared" si="12"/>
        <v>0</v>
      </c>
      <c r="S33" s="23">
        <f t="shared" si="19"/>
        <v>0</v>
      </c>
      <c r="T33" s="24">
        <f t="shared" si="1"/>
        <v>0</v>
      </c>
      <c r="U33" s="242"/>
    </row>
    <row r="34" spans="1:22" x14ac:dyDescent="0.4">
      <c r="A34" s="12" t="str">
        <f t="shared" si="2"/>
        <v/>
      </c>
      <c r="B34" s="13">
        <f t="shared" si="3"/>
        <v>0</v>
      </c>
      <c r="C34" s="36" t="str">
        <f t="shared" si="20"/>
        <v/>
      </c>
      <c r="D34" s="14">
        <f t="shared" si="4"/>
        <v>0</v>
      </c>
      <c r="E34" s="13">
        <f t="shared" si="5"/>
        <v>0</v>
      </c>
      <c r="F34" s="13">
        <f t="shared" si="6"/>
        <v>0</v>
      </c>
      <c r="G34" s="13">
        <f t="shared" si="14"/>
        <v>0</v>
      </c>
      <c r="H34" s="13">
        <f t="shared" si="15"/>
        <v>0</v>
      </c>
      <c r="I34" s="13">
        <f t="shared" si="16"/>
        <v>0</v>
      </c>
      <c r="J34" s="13">
        <f t="shared" si="21"/>
        <v>0</v>
      </c>
      <c r="K34" s="13">
        <f t="shared" si="21"/>
        <v>0</v>
      </c>
      <c r="L34" s="13">
        <f>+J34+K34</f>
        <v>0</v>
      </c>
      <c r="M34" s="13">
        <f t="shared" si="9"/>
        <v>0</v>
      </c>
      <c r="N34" s="18">
        <f t="shared" si="17"/>
        <v>0</v>
      </c>
      <c r="O34" s="18">
        <f t="shared" si="10"/>
        <v>0</v>
      </c>
      <c r="P34" s="22" t="str">
        <f t="shared" si="0"/>
        <v/>
      </c>
      <c r="Q34" s="23">
        <f t="shared" si="11"/>
        <v>0</v>
      </c>
      <c r="R34" s="23">
        <f>IF(OR(A34=0,A34=""),0,(L34/Q34))</f>
        <v>0</v>
      </c>
      <c r="S34" s="23">
        <f>IF(OR(A34=0,A34=""),0,(S33+R34))</f>
        <v>0</v>
      </c>
      <c r="T34" s="24">
        <f t="shared" si="1"/>
        <v>0</v>
      </c>
      <c r="U34" s="242"/>
    </row>
    <row r="35" spans="1:22" x14ac:dyDescent="0.4">
      <c r="A35" s="12" t="str">
        <f t="shared" si="2"/>
        <v/>
      </c>
      <c r="B35" s="13">
        <f t="shared" si="3"/>
        <v>0</v>
      </c>
      <c r="C35" s="36" t="str">
        <f t="shared" si="20"/>
        <v/>
      </c>
      <c r="D35" s="14">
        <f t="shared" si="4"/>
        <v>0</v>
      </c>
      <c r="E35" s="13">
        <f t="shared" si="5"/>
        <v>0</v>
      </c>
      <c r="F35" s="13">
        <f t="shared" si="6"/>
        <v>0</v>
      </c>
      <c r="G35" s="13">
        <f t="shared" si="14"/>
        <v>0</v>
      </c>
      <c r="H35" s="13">
        <f t="shared" si="15"/>
        <v>0</v>
      </c>
      <c r="I35" s="13">
        <f t="shared" si="16"/>
        <v>0</v>
      </c>
      <c r="J35" s="13">
        <f t="shared" si="21"/>
        <v>0</v>
      </c>
      <c r="K35" s="13">
        <f t="shared" si="21"/>
        <v>0</v>
      </c>
      <c r="L35" s="13">
        <f t="shared" si="8"/>
        <v>0</v>
      </c>
      <c r="M35" s="13">
        <f t="shared" si="9"/>
        <v>0</v>
      </c>
      <c r="N35" s="18">
        <f t="shared" si="17"/>
        <v>0</v>
      </c>
      <c r="O35" s="18">
        <f t="shared" si="10"/>
        <v>0</v>
      </c>
      <c r="P35" s="22" t="str">
        <f t="shared" si="0"/>
        <v/>
      </c>
      <c r="Q35" s="23">
        <f t="shared" si="11"/>
        <v>0</v>
      </c>
      <c r="R35" s="23">
        <f t="shared" si="12"/>
        <v>0</v>
      </c>
      <c r="S35" s="23">
        <f t="shared" si="19"/>
        <v>0</v>
      </c>
      <c r="T35" s="24">
        <f t="shared" si="1"/>
        <v>0</v>
      </c>
      <c r="U35" s="242"/>
    </row>
    <row r="36" spans="1:22" x14ac:dyDescent="0.4">
      <c r="A36" s="12" t="str">
        <f t="shared" si="2"/>
        <v/>
      </c>
      <c r="B36" s="13">
        <f t="shared" si="3"/>
        <v>0</v>
      </c>
      <c r="C36" s="36" t="str">
        <f t="shared" si="20"/>
        <v/>
      </c>
      <c r="D36" s="14">
        <f t="shared" si="4"/>
        <v>0</v>
      </c>
      <c r="E36" s="13">
        <f t="shared" si="5"/>
        <v>0</v>
      </c>
      <c r="F36" s="13">
        <f t="shared" si="6"/>
        <v>0</v>
      </c>
      <c r="G36" s="13">
        <f t="shared" si="14"/>
        <v>0</v>
      </c>
      <c r="H36" s="13">
        <f t="shared" si="15"/>
        <v>0</v>
      </c>
      <c r="I36" s="13">
        <f t="shared" si="16"/>
        <v>0</v>
      </c>
      <c r="J36" s="13">
        <f t="shared" si="21"/>
        <v>0</v>
      </c>
      <c r="K36" s="13">
        <f t="shared" si="21"/>
        <v>0</v>
      </c>
      <c r="L36" s="13">
        <f t="shared" si="8"/>
        <v>0</v>
      </c>
      <c r="M36" s="13">
        <f t="shared" si="9"/>
        <v>0</v>
      </c>
      <c r="N36" s="18">
        <f t="shared" si="17"/>
        <v>0</v>
      </c>
      <c r="O36" s="18">
        <f t="shared" si="10"/>
        <v>0</v>
      </c>
      <c r="P36" s="22" t="str">
        <f t="shared" si="0"/>
        <v/>
      </c>
      <c r="Q36" s="23">
        <f t="shared" si="11"/>
        <v>0</v>
      </c>
      <c r="R36" s="23">
        <f t="shared" si="12"/>
        <v>0</v>
      </c>
      <c r="S36" s="23">
        <f t="shared" si="19"/>
        <v>0</v>
      </c>
      <c r="T36" s="24">
        <f t="shared" si="1"/>
        <v>0</v>
      </c>
      <c r="U36" s="242"/>
    </row>
    <row r="37" spans="1:22" x14ac:dyDescent="0.4">
      <c r="A37" s="12" t="str">
        <f t="shared" si="2"/>
        <v/>
      </c>
      <c r="B37" s="13">
        <f t="shared" si="3"/>
        <v>0</v>
      </c>
      <c r="C37" s="36" t="str">
        <f t="shared" si="20"/>
        <v/>
      </c>
      <c r="D37" s="14">
        <f t="shared" si="4"/>
        <v>0</v>
      </c>
      <c r="E37" s="13">
        <f t="shared" si="5"/>
        <v>0</v>
      </c>
      <c r="F37" s="13">
        <f t="shared" si="6"/>
        <v>0</v>
      </c>
      <c r="G37" s="13">
        <f t="shared" si="14"/>
        <v>0</v>
      </c>
      <c r="H37" s="13">
        <f t="shared" si="15"/>
        <v>0</v>
      </c>
      <c r="I37" s="13">
        <f t="shared" si="16"/>
        <v>0</v>
      </c>
      <c r="J37" s="13">
        <f t="shared" si="21"/>
        <v>0</v>
      </c>
      <c r="K37" s="13">
        <f t="shared" si="21"/>
        <v>0</v>
      </c>
      <c r="L37" s="13">
        <f t="shared" si="8"/>
        <v>0</v>
      </c>
      <c r="M37" s="13">
        <f t="shared" si="9"/>
        <v>0</v>
      </c>
      <c r="N37" s="18">
        <f t="shared" si="17"/>
        <v>0</v>
      </c>
      <c r="O37" s="18">
        <f t="shared" si="10"/>
        <v>0</v>
      </c>
      <c r="P37" s="22" t="str">
        <f t="shared" si="0"/>
        <v/>
      </c>
      <c r="Q37" s="23">
        <f t="shared" si="11"/>
        <v>0</v>
      </c>
      <c r="R37" s="23">
        <f t="shared" si="12"/>
        <v>0</v>
      </c>
      <c r="S37" s="23">
        <f t="shared" si="19"/>
        <v>0</v>
      </c>
      <c r="T37" s="24">
        <f t="shared" si="1"/>
        <v>0</v>
      </c>
      <c r="U37" s="242"/>
    </row>
    <row r="38" spans="1:22" x14ac:dyDescent="0.4">
      <c r="A38" s="12" t="str">
        <f t="shared" si="2"/>
        <v/>
      </c>
      <c r="B38" s="13">
        <f t="shared" si="3"/>
        <v>0</v>
      </c>
      <c r="C38" s="36" t="str">
        <f t="shared" si="20"/>
        <v/>
      </c>
      <c r="D38" s="14">
        <f t="shared" si="4"/>
        <v>0</v>
      </c>
      <c r="E38" s="13">
        <f t="shared" si="5"/>
        <v>0</v>
      </c>
      <c r="F38" s="13">
        <f t="shared" si="6"/>
        <v>0</v>
      </c>
      <c r="G38" s="13">
        <f t="shared" si="14"/>
        <v>0</v>
      </c>
      <c r="H38" s="13">
        <f t="shared" si="15"/>
        <v>0</v>
      </c>
      <c r="I38" s="13">
        <f t="shared" si="16"/>
        <v>0</v>
      </c>
      <c r="J38" s="13">
        <f t="shared" si="21"/>
        <v>0</v>
      </c>
      <c r="K38" s="13">
        <f t="shared" si="21"/>
        <v>0</v>
      </c>
      <c r="L38" s="13">
        <f t="shared" si="8"/>
        <v>0</v>
      </c>
      <c r="M38" s="13">
        <f t="shared" si="9"/>
        <v>0</v>
      </c>
      <c r="N38" s="18">
        <f t="shared" si="17"/>
        <v>0</v>
      </c>
      <c r="O38" s="18">
        <f t="shared" si="10"/>
        <v>0</v>
      </c>
      <c r="P38" s="22" t="str">
        <f t="shared" si="0"/>
        <v/>
      </c>
      <c r="Q38" s="23">
        <f t="shared" si="11"/>
        <v>0</v>
      </c>
      <c r="R38" s="23">
        <f t="shared" si="12"/>
        <v>0</v>
      </c>
      <c r="S38" s="23">
        <f t="shared" si="19"/>
        <v>0</v>
      </c>
      <c r="T38" s="24">
        <f t="shared" si="1"/>
        <v>0</v>
      </c>
      <c r="U38" s="242"/>
    </row>
    <row r="39" spans="1:22" x14ac:dyDescent="0.4">
      <c r="A39" s="12" t="str">
        <f t="shared" si="2"/>
        <v/>
      </c>
      <c r="B39" s="13">
        <f t="shared" si="3"/>
        <v>0</v>
      </c>
      <c r="C39" s="36" t="str">
        <f t="shared" si="20"/>
        <v/>
      </c>
      <c r="D39" s="14">
        <f t="shared" si="4"/>
        <v>0</v>
      </c>
      <c r="E39" s="13">
        <f t="shared" si="5"/>
        <v>0</v>
      </c>
      <c r="F39" s="13">
        <f t="shared" si="6"/>
        <v>0</v>
      </c>
      <c r="G39" s="13">
        <f t="shared" si="14"/>
        <v>0</v>
      </c>
      <c r="H39" s="13">
        <f t="shared" si="15"/>
        <v>0</v>
      </c>
      <c r="I39" s="13">
        <f t="shared" si="16"/>
        <v>0</v>
      </c>
      <c r="J39" s="13">
        <f t="shared" si="21"/>
        <v>0</v>
      </c>
      <c r="K39" s="13">
        <f t="shared" si="21"/>
        <v>0</v>
      </c>
      <c r="L39" s="13">
        <f t="shared" si="8"/>
        <v>0</v>
      </c>
      <c r="M39" s="13">
        <f t="shared" si="9"/>
        <v>0</v>
      </c>
      <c r="N39" s="18">
        <f t="shared" si="17"/>
        <v>0</v>
      </c>
      <c r="O39" s="18">
        <f t="shared" si="10"/>
        <v>0</v>
      </c>
      <c r="P39" s="22" t="str">
        <f t="shared" si="0"/>
        <v/>
      </c>
      <c r="Q39" s="23">
        <f t="shared" si="11"/>
        <v>0</v>
      </c>
      <c r="R39" s="23">
        <f t="shared" si="12"/>
        <v>0</v>
      </c>
      <c r="S39" s="23">
        <f t="shared" si="19"/>
        <v>0</v>
      </c>
      <c r="T39" s="24">
        <f t="shared" si="1"/>
        <v>0</v>
      </c>
      <c r="U39" s="242"/>
    </row>
    <row r="40" spans="1:22" x14ac:dyDescent="0.4">
      <c r="A40" s="12" t="str">
        <f t="shared" si="2"/>
        <v/>
      </c>
      <c r="B40" s="13">
        <f t="shared" si="3"/>
        <v>0</v>
      </c>
      <c r="C40" s="36" t="str">
        <f t="shared" si="20"/>
        <v/>
      </c>
      <c r="D40" s="14">
        <f t="shared" si="4"/>
        <v>0</v>
      </c>
      <c r="E40" s="13">
        <f t="shared" si="5"/>
        <v>0</v>
      </c>
      <c r="F40" s="13">
        <f t="shared" si="6"/>
        <v>0</v>
      </c>
      <c r="G40" s="13">
        <f t="shared" si="14"/>
        <v>0</v>
      </c>
      <c r="H40" s="13">
        <f t="shared" si="15"/>
        <v>0</v>
      </c>
      <c r="I40" s="13">
        <f t="shared" si="16"/>
        <v>0</v>
      </c>
      <c r="J40" s="13">
        <f t="shared" si="21"/>
        <v>0</v>
      </c>
      <c r="K40" s="13">
        <f t="shared" si="21"/>
        <v>0</v>
      </c>
      <c r="L40" s="13">
        <f t="shared" si="8"/>
        <v>0</v>
      </c>
      <c r="M40" s="13">
        <f t="shared" si="9"/>
        <v>0</v>
      </c>
      <c r="N40" s="18">
        <f t="shared" si="17"/>
        <v>0</v>
      </c>
      <c r="O40" s="18">
        <f t="shared" si="10"/>
        <v>0</v>
      </c>
      <c r="P40" s="22" t="str">
        <f t="shared" si="0"/>
        <v/>
      </c>
      <c r="Q40" s="23">
        <f t="shared" si="11"/>
        <v>0</v>
      </c>
      <c r="R40" s="23">
        <f t="shared" si="12"/>
        <v>0</v>
      </c>
      <c r="S40" s="23">
        <f t="shared" si="19"/>
        <v>0</v>
      </c>
      <c r="T40" s="24">
        <f t="shared" si="1"/>
        <v>0</v>
      </c>
      <c r="U40" s="242"/>
    </row>
    <row r="41" spans="1:22" x14ac:dyDescent="0.4">
      <c r="A41" s="12" t="str">
        <f t="shared" si="2"/>
        <v/>
      </c>
      <c r="B41" s="13">
        <f t="shared" si="3"/>
        <v>0</v>
      </c>
      <c r="C41" s="36" t="str">
        <f t="shared" si="20"/>
        <v/>
      </c>
      <c r="D41" s="14">
        <f t="shared" si="4"/>
        <v>0</v>
      </c>
      <c r="E41" s="13">
        <f t="shared" si="5"/>
        <v>0</v>
      </c>
      <c r="F41" s="13">
        <f t="shared" si="6"/>
        <v>0</v>
      </c>
      <c r="G41" s="13">
        <f t="shared" si="14"/>
        <v>0</v>
      </c>
      <c r="H41" s="13">
        <f t="shared" si="15"/>
        <v>0</v>
      </c>
      <c r="I41" s="13">
        <f t="shared" si="16"/>
        <v>0</v>
      </c>
      <c r="J41" s="13">
        <f t="shared" si="21"/>
        <v>0</v>
      </c>
      <c r="K41" s="13">
        <f t="shared" si="21"/>
        <v>0</v>
      </c>
      <c r="L41" s="13">
        <f t="shared" si="8"/>
        <v>0</v>
      </c>
      <c r="M41" s="13">
        <f t="shared" si="9"/>
        <v>0</v>
      </c>
      <c r="N41" s="18">
        <f t="shared" si="17"/>
        <v>0</v>
      </c>
      <c r="O41" s="18">
        <f t="shared" si="10"/>
        <v>0</v>
      </c>
      <c r="P41" s="22" t="str">
        <f t="shared" si="0"/>
        <v/>
      </c>
      <c r="Q41" s="23">
        <f t="shared" si="11"/>
        <v>0</v>
      </c>
      <c r="R41" s="23">
        <f t="shared" si="12"/>
        <v>0</v>
      </c>
      <c r="S41" s="23">
        <f t="shared" si="19"/>
        <v>0</v>
      </c>
      <c r="T41" s="24">
        <f t="shared" si="1"/>
        <v>0</v>
      </c>
      <c r="U41" s="242"/>
    </row>
    <row r="42" spans="1:22" x14ac:dyDescent="0.4">
      <c r="A42" s="12" t="str">
        <f t="shared" si="2"/>
        <v/>
      </c>
      <c r="B42" s="13">
        <f t="shared" si="3"/>
        <v>0</v>
      </c>
      <c r="C42" s="36" t="str">
        <f t="shared" si="20"/>
        <v/>
      </c>
      <c r="D42" s="14">
        <f t="shared" si="4"/>
        <v>0</v>
      </c>
      <c r="E42" s="13">
        <f t="shared" si="5"/>
        <v>0</v>
      </c>
      <c r="F42" s="13">
        <f t="shared" si="6"/>
        <v>0</v>
      </c>
      <c r="G42" s="13">
        <f t="shared" si="14"/>
        <v>0</v>
      </c>
      <c r="H42" s="13">
        <f t="shared" si="15"/>
        <v>0</v>
      </c>
      <c r="I42" s="13">
        <f t="shared" si="16"/>
        <v>0</v>
      </c>
      <c r="J42" s="13">
        <f t="shared" si="21"/>
        <v>0</v>
      </c>
      <c r="K42" s="13">
        <f t="shared" si="21"/>
        <v>0</v>
      </c>
      <c r="L42" s="13">
        <f t="shared" si="8"/>
        <v>0</v>
      </c>
      <c r="M42" s="13">
        <f t="shared" si="9"/>
        <v>0</v>
      </c>
      <c r="N42" s="18">
        <f t="shared" si="17"/>
        <v>0</v>
      </c>
      <c r="O42" s="18">
        <f t="shared" si="10"/>
        <v>0</v>
      </c>
      <c r="P42" s="22" t="str">
        <f t="shared" si="0"/>
        <v/>
      </c>
      <c r="Q42" s="23">
        <f t="shared" si="11"/>
        <v>0</v>
      </c>
      <c r="R42" s="23">
        <f t="shared" si="12"/>
        <v>0</v>
      </c>
      <c r="S42" s="23">
        <f t="shared" si="19"/>
        <v>0</v>
      </c>
      <c r="T42" s="24">
        <f t="shared" si="1"/>
        <v>0</v>
      </c>
      <c r="U42" s="242"/>
    </row>
    <row r="43" spans="1:22" x14ac:dyDescent="0.4">
      <c r="A43" s="12" t="str">
        <f t="shared" si="2"/>
        <v/>
      </c>
      <c r="B43" s="13">
        <f t="shared" si="3"/>
        <v>0</v>
      </c>
      <c r="C43" s="36" t="str">
        <f t="shared" si="20"/>
        <v/>
      </c>
      <c r="D43" s="14">
        <f t="shared" si="4"/>
        <v>0</v>
      </c>
      <c r="E43" s="13">
        <f t="shared" si="5"/>
        <v>0</v>
      </c>
      <c r="F43" s="13">
        <f t="shared" si="6"/>
        <v>0</v>
      </c>
      <c r="G43" s="13">
        <f t="shared" si="14"/>
        <v>0</v>
      </c>
      <c r="H43" s="13">
        <f t="shared" si="15"/>
        <v>0</v>
      </c>
      <c r="I43" s="13">
        <f t="shared" si="16"/>
        <v>0</v>
      </c>
      <c r="J43" s="13">
        <f t="shared" si="21"/>
        <v>0</v>
      </c>
      <c r="K43" s="13">
        <f t="shared" si="21"/>
        <v>0</v>
      </c>
      <c r="L43" s="13">
        <f t="shared" si="8"/>
        <v>0</v>
      </c>
      <c r="M43" s="13">
        <f t="shared" si="9"/>
        <v>0</v>
      </c>
      <c r="N43" s="18">
        <f t="shared" si="17"/>
        <v>0</v>
      </c>
      <c r="O43" s="18">
        <f t="shared" si="10"/>
        <v>0</v>
      </c>
      <c r="P43" s="22" t="str">
        <f>+A43</f>
        <v/>
      </c>
      <c r="Q43" s="23">
        <f t="shared" si="11"/>
        <v>0</v>
      </c>
      <c r="R43" s="23">
        <f t="shared" si="12"/>
        <v>0</v>
      </c>
      <c r="S43" s="23">
        <f t="shared" si="19"/>
        <v>0</v>
      </c>
      <c r="T43" s="24">
        <f t="shared" si="1"/>
        <v>0</v>
      </c>
      <c r="U43" s="242"/>
    </row>
    <row r="44" spans="1:22" x14ac:dyDescent="0.4">
      <c r="A44" s="12" t="str">
        <f t="shared" si="2"/>
        <v/>
      </c>
      <c r="B44" s="13">
        <f t="shared" si="3"/>
        <v>0</v>
      </c>
      <c r="C44" s="36" t="str">
        <f t="shared" si="20"/>
        <v/>
      </c>
      <c r="D44" s="14">
        <f t="shared" si="4"/>
        <v>0</v>
      </c>
      <c r="E44" s="13">
        <f t="shared" si="5"/>
        <v>0</v>
      </c>
      <c r="F44" s="13">
        <f t="shared" si="6"/>
        <v>0</v>
      </c>
      <c r="G44" s="13">
        <f t="shared" si="14"/>
        <v>0</v>
      </c>
      <c r="H44" s="13">
        <f t="shared" si="15"/>
        <v>0</v>
      </c>
      <c r="I44" s="13">
        <f t="shared" si="16"/>
        <v>0</v>
      </c>
      <c r="J44" s="13">
        <f t="shared" si="21"/>
        <v>0</v>
      </c>
      <c r="K44" s="13">
        <f t="shared" si="21"/>
        <v>0</v>
      </c>
      <c r="L44" s="13">
        <f t="shared" si="8"/>
        <v>0</v>
      </c>
      <c r="M44" s="13">
        <f t="shared" si="9"/>
        <v>0</v>
      </c>
      <c r="N44" s="18">
        <f t="shared" si="17"/>
        <v>0</v>
      </c>
      <c r="O44" s="18">
        <f t="shared" si="10"/>
        <v>0</v>
      </c>
      <c r="P44" s="22" t="str">
        <f t="shared" ref="P44" si="22">+A44</f>
        <v/>
      </c>
      <c r="Q44" s="23">
        <f t="shared" si="11"/>
        <v>0</v>
      </c>
      <c r="R44" s="23">
        <f t="shared" si="12"/>
        <v>0</v>
      </c>
      <c r="S44" s="23">
        <f t="shared" si="19"/>
        <v>0</v>
      </c>
      <c r="T44" s="24">
        <f t="shared" si="1"/>
        <v>0</v>
      </c>
      <c r="U44" s="242"/>
    </row>
    <row r="45" spans="1:22" s="5" customFormat="1" ht="18.75" thickBot="1" x14ac:dyDescent="0.45">
      <c r="A45" s="37" t="str">
        <f t="shared" si="2"/>
        <v/>
      </c>
      <c r="B45" s="38">
        <f t="shared" si="3"/>
        <v>0</v>
      </c>
      <c r="C45" s="39" t="str">
        <f t="shared" si="20"/>
        <v/>
      </c>
      <c r="D45" s="40">
        <f t="shared" si="4"/>
        <v>0</v>
      </c>
      <c r="E45" s="38">
        <f t="shared" si="5"/>
        <v>0</v>
      </c>
      <c r="F45" s="38">
        <f t="shared" si="6"/>
        <v>0</v>
      </c>
      <c r="G45" s="38">
        <f t="shared" si="14"/>
        <v>0</v>
      </c>
      <c r="H45" s="38">
        <f t="shared" si="15"/>
        <v>0</v>
      </c>
      <c r="I45" s="38">
        <f t="shared" si="16"/>
        <v>0</v>
      </c>
      <c r="J45" s="38">
        <f t="shared" si="21"/>
        <v>0</v>
      </c>
      <c r="K45" s="38">
        <f t="shared" si="21"/>
        <v>0</v>
      </c>
      <c r="L45" s="38">
        <f t="shared" si="8"/>
        <v>0</v>
      </c>
      <c r="M45" s="38">
        <f t="shared" si="9"/>
        <v>0</v>
      </c>
      <c r="N45" s="41">
        <f t="shared" si="17"/>
        <v>0</v>
      </c>
      <c r="O45" s="41">
        <f t="shared" si="10"/>
        <v>0</v>
      </c>
      <c r="P45" s="42" t="str">
        <f>+A45</f>
        <v/>
      </c>
      <c r="Q45" s="43">
        <f t="shared" si="11"/>
        <v>0</v>
      </c>
      <c r="R45" s="43">
        <f t="shared" si="12"/>
        <v>0</v>
      </c>
      <c r="S45" s="43">
        <f t="shared" si="19"/>
        <v>0</v>
      </c>
      <c r="T45" s="44">
        <f t="shared" si="1"/>
        <v>0</v>
      </c>
      <c r="U45" s="242"/>
    </row>
    <row r="46" spans="1:22" ht="18.75" thickBot="1" x14ac:dyDescent="0.45">
      <c r="A46" s="26">
        <f>MAX(A10:A45)</f>
        <v>46023</v>
      </c>
      <c r="B46" s="27">
        <f>MAX(B10:B45)</f>
        <v>2</v>
      </c>
      <c r="C46" s="27">
        <f>MAX(C10:C45)</f>
        <v>46200</v>
      </c>
      <c r="D46" s="28">
        <f>MAX(D10:D45)</f>
        <v>0.56000000000000005</v>
      </c>
      <c r="E46" s="27">
        <f>SUM(E10:E45)</f>
        <v>25872</v>
      </c>
      <c r="F46" s="27">
        <f>SUM(F10:F45)</f>
        <v>72072</v>
      </c>
      <c r="G46" s="27">
        <f>SUM(G9:G45)</f>
        <v>1679680</v>
      </c>
      <c r="H46" s="27">
        <f>SUM(H9:H45)</f>
        <v>946351</v>
      </c>
      <c r="I46" s="27">
        <f>SUM(I10:I45)</f>
        <v>17297</v>
      </c>
      <c r="J46" s="27">
        <f t="shared" ref="J46:K46" si="23">SUM(J10:J45)</f>
        <v>1790670</v>
      </c>
      <c r="K46" s="27">
        <f t="shared" si="23"/>
        <v>1025628</v>
      </c>
      <c r="L46" s="27">
        <f>SUM(L10:L45)</f>
        <v>2816298</v>
      </c>
      <c r="M46" s="27">
        <f>MAX(M10:M45)</f>
        <v>2816298</v>
      </c>
      <c r="N46" s="27">
        <f>SUM(N10:N45)</f>
        <v>337956</v>
      </c>
      <c r="O46" s="27">
        <f t="shared" ref="O46:T46" si="24">MAX(O10:O45)</f>
        <v>2985276</v>
      </c>
      <c r="P46" s="27">
        <f t="shared" si="24"/>
        <v>46023</v>
      </c>
      <c r="Q46" s="27">
        <f t="shared" si="24"/>
        <v>40</v>
      </c>
      <c r="R46" s="27">
        <f t="shared" si="24"/>
        <v>70407.45</v>
      </c>
      <c r="S46" s="27">
        <f t="shared" si="24"/>
        <v>70407.45</v>
      </c>
      <c r="T46" s="27">
        <f t="shared" si="24"/>
        <v>2816298</v>
      </c>
      <c r="U46" s="242"/>
      <c r="V46" s="1">
        <f>+T46*64%</f>
        <v>1802430.72</v>
      </c>
    </row>
    <row r="47" spans="1:22" x14ac:dyDescent="0.4">
      <c r="A47" s="250" t="s">
        <v>35</v>
      </c>
      <c r="B47" s="250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30"/>
      <c r="O47" s="30"/>
      <c r="P47" s="30"/>
      <c r="Q47" s="30"/>
      <c r="R47" s="30"/>
      <c r="S47" s="30"/>
      <c r="T47" s="30"/>
      <c r="U47" s="242"/>
    </row>
    <row r="48" spans="1:22" x14ac:dyDescent="0.4">
      <c r="A48" s="191" t="s">
        <v>39</v>
      </c>
      <c r="B48" s="192"/>
      <c r="C48" s="192"/>
      <c r="D48" s="192"/>
      <c r="E48" s="192"/>
      <c r="F48" s="45"/>
      <c r="G48" s="46" t="s">
        <v>57</v>
      </c>
      <c r="H48" s="45"/>
      <c r="I48" s="45"/>
      <c r="J48" s="45"/>
      <c r="K48" s="45"/>
      <c r="L48" s="45"/>
      <c r="M48" s="30"/>
      <c r="N48" s="30"/>
      <c r="O48" s="30"/>
      <c r="P48" s="30"/>
      <c r="Q48" s="30"/>
      <c r="R48" s="30"/>
      <c r="S48" s="30"/>
      <c r="T48" s="30"/>
      <c r="U48" s="242"/>
      <c r="V48" s="1">
        <f>SUM(V46:V47)</f>
        <v>1802430.72</v>
      </c>
    </row>
    <row r="49" spans="1:22" ht="18" customHeight="1" x14ac:dyDescent="0.4">
      <c r="A49" s="47" t="s">
        <v>36</v>
      </c>
      <c r="B49" s="193" t="s">
        <v>56</v>
      </c>
      <c r="C49" s="193"/>
      <c r="D49" s="193" t="s">
        <v>55</v>
      </c>
      <c r="E49" s="193"/>
      <c r="F49" s="45"/>
      <c r="G49" s="251" t="s">
        <v>58</v>
      </c>
      <c r="H49" s="251"/>
      <c r="I49" s="251"/>
      <c r="J49" s="251"/>
      <c r="K49" s="92"/>
      <c r="L49" s="92"/>
      <c r="M49" s="30"/>
      <c r="N49" s="30"/>
      <c r="O49" s="30"/>
      <c r="P49" s="30"/>
      <c r="Q49" s="30"/>
      <c r="R49" s="30"/>
      <c r="S49" s="30"/>
      <c r="T49" s="30"/>
      <c r="U49" s="242"/>
    </row>
    <row r="50" spans="1:22" x14ac:dyDescent="0.4">
      <c r="A50" s="47">
        <v>1</v>
      </c>
      <c r="B50" s="193" t="s">
        <v>17</v>
      </c>
      <c r="C50" s="193"/>
      <c r="D50" s="193">
        <f>+C46</f>
        <v>46200</v>
      </c>
      <c r="E50" s="193"/>
      <c r="F50" s="45"/>
      <c r="G50" s="251"/>
      <c r="H50" s="251"/>
      <c r="I50" s="251"/>
      <c r="J50" s="251"/>
      <c r="K50" s="92"/>
      <c r="L50" s="92"/>
      <c r="M50" s="30"/>
      <c r="N50" s="30"/>
      <c r="O50" s="30"/>
      <c r="P50" s="30"/>
      <c r="Q50" s="30"/>
      <c r="R50" s="30"/>
      <c r="S50" s="30"/>
      <c r="T50" s="30"/>
      <c r="U50" s="242"/>
    </row>
    <row r="51" spans="1:22" x14ac:dyDescent="0.4">
      <c r="A51" s="47">
        <v>2</v>
      </c>
      <c r="B51" s="193" t="s">
        <v>37</v>
      </c>
      <c r="C51" s="193"/>
      <c r="D51" s="193">
        <f>+D50/2</f>
        <v>23100</v>
      </c>
      <c r="E51" s="193"/>
      <c r="F51" s="45"/>
      <c r="G51" s="251"/>
      <c r="H51" s="251"/>
      <c r="I51" s="251"/>
      <c r="J51" s="251"/>
      <c r="K51" s="45"/>
      <c r="L51" s="45"/>
      <c r="M51" s="30"/>
      <c r="N51" s="30"/>
      <c r="O51" s="30"/>
      <c r="P51" s="30"/>
      <c r="Q51" s="30"/>
      <c r="R51" s="30"/>
      <c r="S51" s="30"/>
      <c r="T51" s="30"/>
      <c r="U51" s="242"/>
    </row>
    <row r="52" spans="1:22" x14ac:dyDescent="0.4">
      <c r="A52" s="47">
        <v>3</v>
      </c>
      <c r="B52" s="193" t="s">
        <v>19</v>
      </c>
      <c r="C52" s="193"/>
      <c r="D52" s="193">
        <f>ROUND(D51*D46,0)</f>
        <v>12936</v>
      </c>
      <c r="E52" s="193"/>
      <c r="F52" s="45"/>
      <c r="G52" s="251"/>
      <c r="H52" s="251"/>
      <c r="I52" s="251"/>
      <c r="J52" s="251"/>
      <c r="K52" s="45"/>
      <c r="L52" s="45"/>
      <c r="M52" s="30"/>
      <c r="N52" s="30"/>
      <c r="O52" s="30"/>
      <c r="P52" s="30"/>
      <c r="Q52" s="30"/>
      <c r="R52" s="30"/>
      <c r="S52" s="30"/>
      <c r="T52" s="30"/>
      <c r="U52" s="242"/>
      <c r="V52" s="1">
        <f>+T46/240</f>
        <v>11734.575000000001</v>
      </c>
    </row>
    <row r="53" spans="1:22" x14ac:dyDescent="0.4">
      <c r="A53" s="47">
        <v>4</v>
      </c>
      <c r="B53" s="193" t="s">
        <v>18</v>
      </c>
      <c r="C53" s="193"/>
      <c r="D53" s="193">
        <f>+D51+D52</f>
        <v>36036</v>
      </c>
      <c r="E53" s="193"/>
      <c r="F53" s="45"/>
      <c r="G53" s="251"/>
      <c r="H53" s="251"/>
      <c r="I53" s="251"/>
      <c r="J53" s="251"/>
      <c r="K53" s="45"/>
      <c r="L53" s="45"/>
      <c r="M53" s="30"/>
      <c r="N53" s="30"/>
      <c r="O53" s="30"/>
      <c r="P53" s="30"/>
      <c r="Q53" s="30"/>
      <c r="R53" s="30"/>
      <c r="S53" s="30"/>
      <c r="T53" s="30"/>
      <c r="U53" s="242"/>
    </row>
    <row r="54" spans="1:22" ht="32.25" customHeight="1" x14ac:dyDescent="0.4">
      <c r="A54" s="213" t="s">
        <v>62</v>
      </c>
      <c r="B54" s="213"/>
      <c r="C54" s="213"/>
      <c r="D54" s="213"/>
      <c r="E54" s="213"/>
      <c r="F54" s="45"/>
      <c r="G54" s="251"/>
      <c r="H54" s="251"/>
      <c r="I54" s="251"/>
      <c r="J54" s="251"/>
      <c r="K54" s="45"/>
      <c r="L54" s="45"/>
      <c r="M54" s="30"/>
      <c r="N54" s="30"/>
      <c r="O54" s="30"/>
      <c r="P54" s="30"/>
      <c r="Q54" s="30"/>
      <c r="R54" s="30"/>
      <c r="S54" s="30"/>
      <c r="T54" s="30"/>
      <c r="U54" s="242"/>
    </row>
    <row r="55" spans="1:22" x14ac:dyDescent="0.4">
      <c r="A55" s="203" t="s">
        <v>38</v>
      </c>
      <c r="B55" s="203"/>
      <c r="C55" s="203"/>
      <c r="D55" s="193">
        <f>+ROUND(D50*30%,0)</f>
        <v>13860</v>
      </c>
      <c r="E55" s="193"/>
      <c r="F55" s="45"/>
      <c r="G55" s="251"/>
      <c r="H55" s="251"/>
      <c r="I55" s="251"/>
      <c r="J55" s="251"/>
      <c r="K55" s="45"/>
      <c r="L55" s="45"/>
      <c r="M55" s="30"/>
      <c r="N55" s="30"/>
      <c r="O55" s="30"/>
      <c r="P55" s="30"/>
      <c r="Q55" s="30"/>
      <c r="R55" s="30"/>
      <c r="S55" s="30"/>
      <c r="T55" s="30"/>
      <c r="U55" s="242"/>
    </row>
    <row r="56" spans="1:22" x14ac:dyDescent="0.4">
      <c r="A56" s="203" t="s">
        <v>19</v>
      </c>
      <c r="B56" s="203"/>
      <c r="C56" s="203"/>
      <c r="D56" s="193">
        <f>ROUND(D55*D46,0)</f>
        <v>7762</v>
      </c>
      <c r="E56" s="193"/>
      <c r="F56" s="45"/>
      <c r="G56" s="251"/>
      <c r="H56" s="251"/>
      <c r="I56" s="251"/>
      <c r="J56" s="251"/>
      <c r="K56" s="45"/>
      <c r="L56" s="45"/>
      <c r="M56" s="30"/>
      <c r="N56" s="30"/>
      <c r="O56" s="30"/>
      <c r="P56" s="30"/>
      <c r="Q56" s="30"/>
      <c r="R56" s="30"/>
      <c r="S56" s="30"/>
      <c r="T56" s="30"/>
      <c r="U56" s="242"/>
    </row>
    <row r="57" spans="1:22" x14ac:dyDescent="0.4">
      <c r="A57" s="203" t="s">
        <v>21</v>
      </c>
      <c r="B57" s="203"/>
      <c r="C57" s="203"/>
      <c r="D57" s="193">
        <f>+D55+D56</f>
        <v>21622</v>
      </c>
      <c r="E57" s="193"/>
      <c r="F57" s="45"/>
      <c r="G57" s="45" t="s">
        <v>113</v>
      </c>
      <c r="H57" s="45"/>
      <c r="I57" s="114">
        <f>((D50*D46)+D50)*10</f>
        <v>720720</v>
      </c>
      <c r="J57" s="45"/>
      <c r="K57" s="45"/>
      <c r="L57" s="45"/>
      <c r="M57" s="30"/>
      <c r="N57" s="30"/>
      <c r="O57" s="30"/>
      <c r="P57" s="30"/>
      <c r="Q57" s="30"/>
      <c r="R57" s="30"/>
      <c r="S57" s="30"/>
      <c r="T57" s="30"/>
      <c r="U57" s="242"/>
    </row>
    <row r="58" spans="1:22" x14ac:dyDescent="0.4">
      <c r="A58" s="203"/>
      <c r="B58" s="203"/>
      <c r="C58" s="203"/>
      <c r="D58" s="193"/>
      <c r="E58" s="193"/>
      <c r="F58" s="45"/>
      <c r="G58" s="45"/>
      <c r="H58" s="45"/>
      <c r="I58" s="45"/>
      <c r="J58" s="45"/>
      <c r="K58" s="45"/>
      <c r="L58" s="45"/>
      <c r="M58" s="30"/>
      <c r="N58" s="30"/>
      <c r="O58" s="30"/>
      <c r="P58" s="30"/>
      <c r="Q58" s="30"/>
      <c r="R58" s="30"/>
      <c r="S58" s="30"/>
      <c r="T58" s="30"/>
      <c r="U58" s="242"/>
    </row>
    <row r="59" spans="1:22" ht="22.5" customHeight="1" x14ac:dyDescent="0.4">
      <c r="A59" s="253" t="s">
        <v>40</v>
      </c>
      <c r="B59" s="253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48"/>
      <c r="N59" s="30"/>
      <c r="O59" s="30"/>
      <c r="P59" s="30"/>
      <c r="Q59" s="30"/>
      <c r="R59" s="30"/>
      <c r="S59" s="30"/>
      <c r="T59" s="30"/>
      <c r="U59" s="242"/>
    </row>
    <row r="60" spans="1:22" x14ac:dyDescent="0.4">
      <c r="A60" s="204" t="s">
        <v>63</v>
      </c>
      <c r="B60" s="205"/>
      <c r="C60" s="206"/>
      <c r="D60" s="254">
        <f>+T46*40%</f>
        <v>1126519.2</v>
      </c>
      <c r="E60" s="255"/>
      <c r="F60" s="49">
        <f>ROUND((D60*8%)/12,0)</f>
        <v>7510</v>
      </c>
      <c r="G60" s="50"/>
      <c r="H60" s="52" t="s">
        <v>57</v>
      </c>
      <c r="I60" s="50"/>
      <c r="J60" s="50"/>
      <c r="K60" s="50"/>
      <c r="L60" s="50"/>
      <c r="M60" s="30"/>
      <c r="N60" s="30"/>
      <c r="O60" s="30"/>
      <c r="P60" s="30"/>
      <c r="Q60" s="30"/>
      <c r="R60" s="30"/>
      <c r="S60" s="30"/>
      <c r="T60" s="30"/>
      <c r="U60" s="242"/>
    </row>
    <row r="61" spans="1:22" x14ac:dyDescent="0.4">
      <c r="A61" s="208" t="s">
        <v>64</v>
      </c>
      <c r="B61" s="208"/>
      <c r="C61" s="208"/>
      <c r="D61" s="252">
        <f>+T46*60%</f>
        <v>1689778.8</v>
      </c>
      <c r="E61" s="252"/>
      <c r="F61" s="49">
        <f>ROUND((D61*8%)/12,0)</f>
        <v>11265</v>
      </c>
      <c r="G61" s="50"/>
      <c r="H61" s="50"/>
      <c r="I61" s="50"/>
      <c r="J61" s="50"/>
      <c r="K61" s="50"/>
      <c r="L61" s="50"/>
      <c r="M61" s="30"/>
      <c r="N61" s="30"/>
      <c r="O61" s="30"/>
      <c r="P61" s="30"/>
      <c r="Q61" s="30"/>
      <c r="R61" s="30"/>
      <c r="S61" s="30"/>
      <c r="T61" s="30"/>
      <c r="U61" s="242"/>
    </row>
    <row r="62" spans="1:22" x14ac:dyDescent="0.4">
      <c r="A62" s="208" t="s">
        <v>65</v>
      </c>
      <c r="B62" s="208"/>
      <c r="C62" s="208"/>
      <c r="D62" s="252">
        <f>SUM(D60:D61)</f>
        <v>2816298</v>
      </c>
      <c r="E62" s="252"/>
      <c r="F62" s="49">
        <f>SUM(F60:F61)</f>
        <v>18775</v>
      </c>
      <c r="G62" s="256" t="s">
        <v>61</v>
      </c>
      <c r="H62" s="256"/>
      <c r="I62" s="256"/>
      <c r="J62" s="256"/>
      <c r="K62" s="50"/>
      <c r="L62" s="50"/>
      <c r="M62" s="30"/>
      <c r="N62" s="30"/>
      <c r="O62" s="30"/>
      <c r="P62" s="30"/>
      <c r="Q62" s="30"/>
      <c r="R62" s="30"/>
      <c r="S62" s="30"/>
      <c r="T62" s="30"/>
      <c r="U62" s="242"/>
    </row>
    <row r="63" spans="1:22" x14ac:dyDescent="0.4">
      <c r="A63" s="210" t="s">
        <v>66</v>
      </c>
      <c r="B63" s="211"/>
      <c r="C63" s="211"/>
      <c r="D63" s="211"/>
      <c r="E63" s="212"/>
      <c r="F63" s="51">
        <f>+F62</f>
        <v>18775</v>
      </c>
      <c r="G63" s="256"/>
      <c r="H63" s="256"/>
      <c r="I63" s="256"/>
      <c r="J63" s="256"/>
      <c r="K63" s="50"/>
      <c r="L63" s="50"/>
      <c r="M63" s="30"/>
      <c r="N63" s="30"/>
      <c r="O63" s="30"/>
      <c r="P63" s="30"/>
      <c r="Q63" s="30"/>
      <c r="R63" s="30"/>
      <c r="S63" s="30"/>
      <c r="T63" s="30"/>
      <c r="U63" s="242"/>
    </row>
    <row r="64" spans="1:22" x14ac:dyDescent="0.4">
      <c r="A64" s="210" t="s">
        <v>67</v>
      </c>
      <c r="B64" s="211"/>
      <c r="C64" s="211"/>
      <c r="D64" s="211"/>
      <c r="E64" s="212"/>
      <c r="F64" s="51">
        <f>+F63-D53</f>
        <v>-17261</v>
      </c>
      <c r="G64" s="256"/>
      <c r="H64" s="256"/>
      <c r="I64" s="256"/>
      <c r="J64" s="256"/>
      <c r="K64" s="50"/>
      <c r="L64" s="50"/>
      <c r="M64" s="30"/>
      <c r="N64" s="30"/>
      <c r="O64" s="30"/>
      <c r="P64" s="30"/>
      <c r="Q64" s="30"/>
      <c r="R64" s="30"/>
      <c r="S64" s="30"/>
      <c r="T64" s="30"/>
      <c r="U64" s="242"/>
    </row>
    <row r="65" spans="1:21" x14ac:dyDescent="0.4">
      <c r="A65" s="50"/>
      <c r="B65" s="50"/>
      <c r="C65" s="50"/>
      <c r="D65" s="50"/>
      <c r="E65" s="50"/>
      <c r="F65" s="50"/>
      <c r="G65" s="256"/>
      <c r="H65" s="256"/>
      <c r="I65" s="256"/>
      <c r="J65" s="256"/>
      <c r="K65" s="50"/>
      <c r="L65" s="50"/>
      <c r="M65" s="30"/>
      <c r="N65" s="30"/>
      <c r="O65" s="30"/>
      <c r="P65" s="30"/>
      <c r="Q65" s="30"/>
      <c r="R65" s="30"/>
      <c r="S65" s="30"/>
      <c r="T65" s="30"/>
      <c r="U65" s="242"/>
    </row>
    <row r="66" spans="1:21" x14ac:dyDescent="0.4">
      <c r="A66" s="49" t="s">
        <v>36</v>
      </c>
      <c r="B66" s="252" t="s">
        <v>56</v>
      </c>
      <c r="C66" s="252"/>
      <c r="D66" s="252" t="s">
        <v>55</v>
      </c>
      <c r="E66" s="252"/>
      <c r="F66" s="50"/>
      <c r="G66" s="256"/>
      <c r="H66" s="256"/>
      <c r="I66" s="256"/>
      <c r="J66" s="256"/>
      <c r="K66" s="50"/>
      <c r="L66" s="50"/>
      <c r="M66" s="30"/>
      <c r="N66" s="30"/>
      <c r="O66" s="30"/>
      <c r="P66" s="30"/>
      <c r="Q66" s="30"/>
      <c r="R66" s="30"/>
      <c r="S66" s="30"/>
      <c r="T66" s="30"/>
      <c r="U66" s="242"/>
    </row>
    <row r="67" spans="1:21" ht="18" customHeight="1" x14ac:dyDescent="0.4">
      <c r="A67" s="49">
        <v>1</v>
      </c>
      <c r="B67" s="252" t="s">
        <v>17</v>
      </c>
      <c r="C67" s="252"/>
      <c r="D67" s="252">
        <f>+D50</f>
        <v>46200</v>
      </c>
      <c r="E67" s="252"/>
      <c r="F67" s="50"/>
      <c r="G67" s="256"/>
      <c r="H67" s="256"/>
      <c r="I67" s="256"/>
      <c r="J67" s="256"/>
      <c r="K67" s="93"/>
      <c r="L67" s="93"/>
      <c r="M67" s="30"/>
      <c r="N67" s="30"/>
      <c r="O67" s="30"/>
      <c r="P67" s="30"/>
      <c r="Q67" s="30"/>
      <c r="R67" s="30"/>
      <c r="S67" s="30"/>
      <c r="T67" s="30"/>
      <c r="U67" s="242"/>
    </row>
    <row r="68" spans="1:21" x14ac:dyDescent="0.4">
      <c r="A68" s="49">
        <v>2</v>
      </c>
      <c r="B68" s="252" t="s">
        <v>37</v>
      </c>
      <c r="C68" s="252"/>
      <c r="D68" s="252">
        <f>+D67/2</f>
        <v>23100</v>
      </c>
      <c r="E68" s="252"/>
      <c r="F68" s="50"/>
      <c r="G68" s="93"/>
      <c r="H68" s="93"/>
      <c r="I68" s="93"/>
      <c r="J68" s="93"/>
      <c r="K68" s="93"/>
      <c r="L68" s="93"/>
      <c r="M68" s="30"/>
      <c r="N68" s="30"/>
      <c r="O68" s="30"/>
      <c r="P68" s="30"/>
      <c r="Q68" s="30"/>
      <c r="R68" s="30"/>
      <c r="S68" s="30"/>
      <c r="T68" s="30"/>
      <c r="U68" s="242"/>
    </row>
    <row r="69" spans="1:21" x14ac:dyDescent="0.4">
      <c r="A69" s="49">
        <v>3</v>
      </c>
      <c r="B69" s="252" t="s">
        <v>19</v>
      </c>
      <c r="C69" s="252"/>
      <c r="D69" s="252">
        <f>ROUND(D68*D46,0)</f>
        <v>12936</v>
      </c>
      <c r="E69" s="252"/>
      <c r="F69" s="50"/>
      <c r="G69" s="52" t="s">
        <v>59</v>
      </c>
      <c r="H69" s="50"/>
      <c r="I69" s="50"/>
      <c r="J69" s="50"/>
      <c r="K69" s="50" cm="1">
        <f t="array" ref="K69">D68/2*MIN(66, DATEDIF(H5,H6,"Y")*2 + _xlfn.IFS(DATEDIF(H5,H6,"Ym")&gt;9, 2, DATEDIF(H5,H6,"Ym")&gt;3, 1, TRUE, 0))</f>
        <v>392700</v>
      </c>
      <c r="L69" s="50" t="s">
        <v>84</v>
      </c>
      <c r="M69" s="30"/>
      <c r="N69" s="30"/>
      <c r="O69" s="30"/>
      <c r="P69" s="30"/>
      <c r="Q69" s="30"/>
      <c r="R69" s="30"/>
      <c r="S69" s="30"/>
      <c r="T69" s="30"/>
      <c r="U69" s="242"/>
    </row>
    <row r="70" spans="1:21" x14ac:dyDescent="0.4">
      <c r="A70" s="49">
        <v>4</v>
      </c>
      <c r="B70" s="252" t="s">
        <v>116</v>
      </c>
      <c r="C70" s="252"/>
      <c r="D70" s="252">
        <f>+D68+D69</f>
        <v>36036</v>
      </c>
      <c r="E70" s="252"/>
      <c r="F70" s="50"/>
      <c r="G70" s="52" t="s">
        <v>60</v>
      </c>
      <c r="H70" s="50"/>
      <c r="I70" s="50"/>
      <c r="J70" s="50"/>
      <c r="K70" s="50"/>
      <c r="L70" s="50"/>
      <c r="M70" s="30"/>
      <c r="N70" s="30"/>
      <c r="O70" s="30"/>
      <c r="P70" s="30"/>
      <c r="Q70" s="30"/>
      <c r="R70" s="30"/>
      <c r="S70" s="30"/>
      <c r="T70" s="30"/>
      <c r="U70" s="242"/>
    </row>
    <row r="71" spans="1:21" x14ac:dyDescent="0.4">
      <c r="A71" s="258" t="s">
        <v>62</v>
      </c>
      <c r="B71" s="258"/>
      <c r="C71" s="258"/>
      <c r="D71" s="258"/>
      <c r="E71" s="258"/>
      <c r="F71" s="50"/>
      <c r="G71" s="45" t="s">
        <v>113</v>
      </c>
      <c r="H71" s="50"/>
      <c r="I71" s="115">
        <f>+I57</f>
        <v>720720</v>
      </c>
      <c r="J71" s="50"/>
      <c r="K71" s="50"/>
      <c r="L71" s="50"/>
      <c r="M71" s="30"/>
      <c r="N71" s="30"/>
      <c r="O71" s="30"/>
      <c r="P71" s="30"/>
      <c r="Q71" s="30"/>
      <c r="R71" s="30"/>
      <c r="S71" s="30"/>
      <c r="T71" s="30"/>
      <c r="U71" s="242"/>
    </row>
    <row r="72" spans="1:21" x14ac:dyDescent="0.4">
      <c r="A72" s="257" t="s">
        <v>38</v>
      </c>
      <c r="B72" s="257"/>
      <c r="C72" s="257"/>
      <c r="D72" s="252">
        <f>+ROUND(D67*30%,0)</f>
        <v>13860</v>
      </c>
      <c r="E72" s="252"/>
      <c r="F72" s="50"/>
      <c r="G72" s="50"/>
      <c r="H72" s="111">
        <f>ROUND(T46*36%,0)</f>
        <v>1013867</v>
      </c>
      <c r="I72" s="52" t="s">
        <v>81</v>
      </c>
      <c r="J72" s="50"/>
      <c r="K72" s="50"/>
      <c r="L72" s="50"/>
      <c r="M72" s="30"/>
      <c r="N72" s="30"/>
      <c r="O72" s="30"/>
      <c r="P72" s="30"/>
      <c r="Q72" s="30"/>
      <c r="R72" s="30"/>
      <c r="S72" s="30"/>
      <c r="T72" s="30"/>
      <c r="U72" s="242"/>
    </row>
    <row r="73" spans="1:21" x14ac:dyDescent="0.4">
      <c r="A73" s="257" t="s">
        <v>19</v>
      </c>
      <c r="B73" s="257"/>
      <c r="C73" s="257"/>
      <c r="D73" s="252">
        <f>ROUND(D72*D46,0)</f>
        <v>7762</v>
      </c>
      <c r="E73" s="252"/>
      <c r="F73" s="50"/>
      <c r="G73" s="50"/>
      <c r="H73" s="50"/>
      <c r="I73" s="50"/>
      <c r="J73" s="50"/>
      <c r="K73" s="50"/>
      <c r="L73" s="50"/>
      <c r="M73" s="30"/>
      <c r="N73" s="30"/>
      <c r="O73" s="30"/>
      <c r="P73" s="30"/>
      <c r="Q73" s="30"/>
      <c r="R73" s="30"/>
      <c r="S73" s="30"/>
      <c r="T73" s="30"/>
      <c r="U73" s="242"/>
    </row>
    <row r="74" spans="1:21" x14ac:dyDescent="0.4">
      <c r="A74" s="257" t="s">
        <v>21</v>
      </c>
      <c r="B74" s="257"/>
      <c r="C74" s="257"/>
      <c r="D74" s="252">
        <f>+D72+D73</f>
        <v>21622</v>
      </c>
      <c r="E74" s="252"/>
      <c r="F74" s="50"/>
      <c r="G74" s="50"/>
      <c r="H74" s="50"/>
      <c r="I74" s="50"/>
      <c r="J74" s="50"/>
      <c r="K74" s="50"/>
      <c r="L74" s="50"/>
      <c r="M74" s="30"/>
      <c r="N74" s="30"/>
      <c r="O74" s="30"/>
      <c r="P74" s="30"/>
      <c r="Q74" s="30"/>
      <c r="R74" s="30"/>
      <c r="S74" s="30"/>
      <c r="T74" s="30"/>
      <c r="U74" s="242"/>
    </row>
    <row r="75" spans="1:21" x14ac:dyDescent="0.4">
      <c r="A75" s="259" t="s">
        <v>41</v>
      </c>
      <c r="B75" s="260"/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30"/>
      <c r="N75" s="30"/>
      <c r="O75" s="30"/>
      <c r="P75" s="30"/>
      <c r="Q75" s="30"/>
      <c r="R75" s="30"/>
      <c r="S75" s="30"/>
      <c r="T75" s="30"/>
      <c r="U75" s="242"/>
    </row>
    <row r="76" spans="1:21" x14ac:dyDescent="0.4">
      <c r="A76" s="31"/>
      <c r="B76" s="5"/>
      <c r="C76" s="5"/>
      <c r="D76" s="32"/>
      <c r="E76" s="5"/>
      <c r="F76" s="34" t="s">
        <v>68</v>
      </c>
      <c r="G76" s="5"/>
      <c r="H76" s="5"/>
      <c r="I76" s="5"/>
      <c r="J76" s="34" t="s">
        <v>43</v>
      </c>
      <c r="K76" s="34"/>
      <c r="L76" s="5"/>
      <c r="M76" s="5"/>
      <c r="N76" s="30"/>
      <c r="O76" s="30"/>
      <c r="P76" s="30"/>
      <c r="Q76" s="30"/>
      <c r="R76" s="30"/>
      <c r="S76" s="30"/>
      <c r="T76" s="30"/>
      <c r="U76" s="242"/>
    </row>
    <row r="77" spans="1:21" x14ac:dyDescent="0.4">
      <c r="A77" s="53" t="s">
        <v>36</v>
      </c>
      <c r="B77" s="197" t="s">
        <v>56</v>
      </c>
      <c r="C77" s="197"/>
      <c r="D77" s="197" t="s">
        <v>55</v>
      </c>
      <c r="E77" s="197"/>
      <c r="F77" s="55"/>
      <c r="G77" s="55"/>
      <c r="H77" s="56" t="s">
        <v>69</v>
      </c>
      <c r="I77" s="53">
        <v>16</v>
      </c>
      <c r="J77" s="53">
        <v>10</v>
      </c>
      <c r="K77" s="55"/>
      <c r="L77" s="55"/>
      <c r="M77" s="30"/>
      <c r="N77" s="30"/>
      <c r="O77" s="30"/>
      <c r="P77" s="30"/>
      <c r="Q77" s="30"/>
      <c r="R77" s="30"/>
      <c r="S77" s="30"/>
      <c r="T77" s="30"/>
      <c r="U77" s="242"/>
    </row>
    <row r="78" spans="1:21" x14ac:dyDescent="0.4">
      <c r="A78" s="53">
        <v>1</v>
      </c>
      <c r="B78" s="197" t="s">
        <v>17</v>
      </c>
      <c r="C78" s="197"/>
      <c r="D78" s="197">
        <f>+D50</f>
        <v>46200</v>
      </c>
      <c r="E78" s="197"/>
      <c r="F78" s="55"/>
      <c r="G78" s="94">
        <f>+D78</f>
        <v>46200</v>
      </c>
      <c r="H78" s="55"/>
      <c r="I78" s="53">
        <f>+D78</f>
        <v>46200</v>
      </c>
      <c r="J78" s="53">
        <f>+D78</f>
        <v>46200</v>
      </c>
      <c r="K78" s="55"/>
      <c r="L78" s="55"/>
      <c r="M78" s="30"/>
      <c r="N78" s="30"/>
      <c r="O78" s="30"/>
      <c r="P78" s="30"/>
      <c r="Q78" s="30"/>
      <c r="R78" s="30"/>
      <c r="S78" s="30"/>
      <c r="T78" s="30"/>
      <c r="U78" s="242"/>
    </row>
    <row r="79" spans="1:21" x14ac:dyDescent="0.4">
      <c r="A79" s="53">
        <v>2</v>
      </c>
      <c r="B79" s="197" t="s">
        <v>37</v>
      </c>
      <c r="C79" s="197"/>
      <c r="D79" s="197">
        <f>+D78/2</f>
        <v>23100</v>
      </c>
      <c r="E79" s="197"/>
      <c r="F79" s="55"/>
      <c r="G79" s="53">
        <f>+G78/2</f>
        <v>23100</v>
      </c>
      <c r="H79" s="55"/>
      <c r="I79" s="53">
        <f>+G79*I77/20</f>
        <v>18480</v>
      </c>
      <c r="J79" s="53">
        <f>+G79*J77/20</f>
        <v>11550</v>
      </c>
      <c r="K79" s="55"/>
      <c r="L79" s="55"/>
      <c r="M79" s="30"/>
      <c r="N79" s="30"/>
      <c r="O79" s="30"/>
      <c r="P79" s="30"/>
      <c r="Q79" s="30"/>
      <c r="R79" s="30"/>
      <c r="S79" s="30"/>
      <c r="T79" s="30"/>
      <c r="U79" s="242"/>
    </row>
    <row r="80" spans="1:21" x14ac:dyDescent="0.4">
      <c r="A80" s="53">
        <v>3</v>
      </c>
      <c r="B80" s="197" t="s">
        <v>19</v>
      </c>
      <c r="C80" s="197"/>
      <c r="D80" s="197">
        <f>ROUND(D79*D46,0)</f>
        <v>12936</v>
      </c>
      <c r="E80" s="197"/>
      <c r="F80" s="55"/>
      <c r="G80" s="53">
        <f>G79*D46</f>
        <v>12936.000000000002</v>
      </c>
      <c r="H80" s="55"/>
      <c r="I80" s="53">
        <f>ROUND(I79*D46,0)</f>
        <v>10349</v>
      </c>
      <c r="J80" s="53">
        <f>ROUND(J79*D46,0)</f>
        <v>6468</v>
      </c>
      <c r="K80" s="55"/>
      <c r="L80" s="55"/>
      <c r="M80" s="30"/>
      <c r="N80" s="30"/>
      <c r="O80" s="30"/>
      <c r="P80" s="30"/>
      <c r="Q80" s="30"/>
      <c r="R80" s="30"/>
      <c r="S80" s="30"/>
      <c r="T80" s="30"/>
      <c r="U80" s="242"/>
    </row>
    <row r="81" spans="1:21" x14ac:dyDescent="0.4">
      <c r="A81" s="53">
        <v>4</v>
      </c>
      <c r="B81" s="197" t="s">
        <v>116</v>
      </c>
      <c r="C81" s="197"/>
      <c r="D81" s="197">
        <f>+D79+D80</f>
        <v>36036</v>
      </c>
      <c r="E81" s="197"/>
      <c r="F81" s="55"/>
      <c r="G81" s="57">
        <f>+G79+G80</f>
        <v>36036</v>
      </c>
      <c r="H81" s="55"/>
      <c r="I81" s="57">
        <f>+I79+I80</f>
        <v>28829</v>
      </c>
      <c r="J81" s="57">
        <f>+J79+J80</f>
        <v>18018</v>
      </c>
      <c r="K81" s="55"/>
      <c r="L81" s="55"/>
      <c r="M81" s="30"/>
      <c r="N81" s="30"/>
      <c r="O81" s="30"/>
      <c r="P81" s="30"/>
      <c r="Q81" s="30"/>
      <c r="R81" s="30"/>
      <c r="S81" s="30"/>
      <c r="T81" s="30"/>
      <c r="U81" s="242"/>
    </row>
    <row r="82" spans="1:21" x14ac:dyDescent="0.4">
      <c r="A82" s="216" t="s">
        <v>62</v>
      </c>
      <c r="B82" s="216"/>
      <c r="C82" s="216"/>
      <c r="D82" s="216"/>
      <c r="E82" s="216"/>
      <c r="F82" s="55"/>
      <c r="G82" s="55"/>
      <c r="H82" s="55"/>
      <c r="I82" s="54" t="s">
        <v>44</v>
      </c>
      <c r="J82" s="55"/>
      <c r="K82" s="55"/>
      <c r="L82" s="55"/>
      <c r="M82" s="30"/>
      <c r="N82" s="30"/>
      <c r="O82" s="30"/>
      <c r="P82" s="30"/>
      <c r="Q82" s="30"/>
      <c r="R82" s="30"/>
      <c r="S82" s="30"/>
      <c r="T82" s="30"/>
      <c r="U82" s="242"/>
    </row>
    <row r="83" spans="1:21" x14ac:dyDescent="0.4">
      <c r="A83" s="224" t="s">
        <v>74</v>
      </c>
      <c r="B83" s="224"/>
      <c r="C83" s="224"/>
      <c r="D83" s="197">
        <f>+ROUND(D78*30%,0)</f>
        <v>13860</v>
      </c>
      <c r="E83" s="197"/>
      <c r="F83" s="55"/>
      <c r="G83" s="55"/>
      <c r="H83" s="55"/>
      <c r="I83" s="55">
        <f>(7500*D46)+7500</f>
        <v>11700</v>
      </c>
      <c r="J83" s="55"/>
      <c r="K83" s="55"/>
      <c r="L83" s="55"/>
      <c r="M83" s="30"/>
      <c r="N83" s="30"/>
      <c r="O83" s="30"/>
      <c r="P83" s="30"/>
      <c r="Q83" s="30"/>
      <c r="R83" s="30"/>
      <c r="S83" s="30"/>
      <c r="T83" s="30"/>
      <c r="U83" s="242"/>
    </row>
    <row r="84" spans="1:21" x14ac:dyDescent="0.4">
      <c r="A84" s="224" t="s">
        <v>19</v>
      </c>
      <c r="B84" s="224"/>
      <c r="C84" s="224"/>
      <c r="D84" s="197">
        <f>ROUND(D83*D46,0)</f>
        <v>7762</v>
      </c>
      <c r="E84" s="197"/>
      <c r="F84" s="55"/>
      <c r="G84" s="112">
        <f>+D62</f>
        <v>2816298</v>
      </c>
      <c r="H84" s="54" t="s">
        <v>82</v>
      </c>
      <c r="I84" s="55"/>
      <c r="J84" s="55"/>
      <c r="K84" s="55">
        <f>+K69</f>
        <v>392700</v>
      </c>
      <c r="L84" s="50" t="s">
        <v>84</v>
      </c>
      <c r="M84" s="30"/>
      <c r="N84" s="30"/>
      <c r="O84" s="30"/>
      <c r="P84" s="30"/>
      <c r="Q84" s="30"/>
      <c r="R84" s="30"/>
      <c r="S84" s="30"/>
      <c r="T84" s="30"/>
      <c r="U84" s="242"/>
    </row>
    <row r="85" spans="1:21" x14ac:dyDescent="0.4">
      <c r="A85" s="224" t="s">
        <v>21</v>
      </c>
      <c r="B85" s="224"/>
      <c r="C85" s="224"/>
      <c r="D85" s="197">
        <f>+D83+D84</f>
        <v>21622</v>
      </c>
      <c r="E85" s="197"/>
      <c r="F85" s="55"/>
      <c r="G85" s="45" t="s">
        <v>113</v>
      </c>
      <c r="H85" s="50"/>
      <c r="I85" s="115">
        <f>+I71</f>
        <v>720720</v>
      </c>
      <c r="J85" s="55"/>
      <c r="K85" s="55"/>
      <c r="L85" s="55"/>
      <c r="M85" s="30"/>
      <c r="N85" s="30"/>
      <c r="O85" s="30"/>
      <c r="P85" s="30"/>
      <c r="Q85" s="30"/>
      <c r="R85" s="30"/>
      <c r="S85" s="30"/>
      <c r="T85" s="30"/>
      <c r="U85" s="242"/>
    </row>
    <row r="86" spans="1:21" x14ac:dyDescent="0.4">
      <c r="A86" s="31"/>
      <c r="B86" s="5"/>
      <c r="C86" s="5"/>
      <c r="D86" s="32"/>
      <c r="E86" s="5"/>
      <c r="F86" s="5"/>
      <c r="G86" s="5"/>
      <c r="H86" s="5"/>
      <c r="I86" s="5"/>
      <c r="J86" s="5"/>
      <c r="K86" s="5"/>
      <c r="L86" s="5"/>
      <c r="M86" s="5"/>
      <c r="N86" s="30"/>
      <c r="O86" s="30"/>
      <c r="P86" s="30"/>
      <c r="Q86" s="30"/>
      <c r="R86" s="30"/>
      <c r="S86" s="30"/>
      <c r="T86" s="30"/>
      <c r="U86" s="242"/>
    </row>
    <row r="87" spans="1:21" x14ac:dyDescent="0.4">
      <c r="A87" s="263" t="s">
        <v>42</v>
      </c>
      <c r="B87" s="264"/>
      <c r="C87" s="264"/>
      <c r="D87" s="264"/>
      <c r="E87" s="264"/>
      <c r="F87" s="264"/>
      <c r="G87" s="264"/>
      <c r="H87" s="264"/>
      <c r="I87" s="264"/>
      <c r="J87" s="264"/>
      <c r="K87" s="264"/>
      <c r="L87" s="264"/>
      <c r="M87" s="30"/>
      <c r="N87" s="30"/>
      <c r="O87" s="30"/>
      <c r="P87" s="30"/>
      <c r="Q87" s="30"/>
      <c r="R87" s="30"/>
      <c r="S87" s="30"/>
      <c r="T87" s="30"/>
    </row>
    <row r="88" spans="1:21" x14ac:dyDescent="0.4">
      <c r="A88" s="265" t="s">
        <v>75</v>
      </c>
      <c r="B88" s="265"/>
      <c r="C88" s="265"/>
      <c r="D88" s="265"/>
      <c r="E88" s="265"/>
      <c r="F88" s="265"/>
      <c r="G88" s="265"/>
      <c r="H88" s="265"/>
      <c r="I88" s="265"/>
      <c r="J88" s="265"/>
      <c r="K88" s="265"/>
      <c r="L88" s="265"/>
      <c r="M88" s="30"/>
      <c r="N88" s="30"/>
      <c r="O88" s="30"/>
      <c r="P88" s="30"/>
      <c r="Q88" s="30"/>
      <c r="R88" s="30"/>
      <c r="S88" s="30"/>
      <c r="T88" s="30"/>
    </row>
    <row r="89" spans="1:21" ht="41.25" customHeight="1" x14ac:dyDescent="0.4">
      <c r="A89" s="266" t="s">
        <v>45</v>
      </c>
      <c r="B89" s="267"/>
      <c r="C89" s="267"/>
      <c r="D89" s="268"/>
      <c r="E89" s="269" t="s">
        <v>79</v>
      </c>
      <c r="F89" s="270"/>
      <c r="G89" s="270"/>
      <c r="H89" s="267" t="s">
        <v>48</v>
      </c>
      <c r="I89" s="267"/>
      <c r="J89" s="102" t="s">
        <v>52</v>
      </c>
      <c r="K89" s="103" t="s">
        <v>53</v>
      </c>
      <c r="L89" s="104" t="s">
        <v>54</v>
      </c>
      <c r="M89" s="30"/>
      <c r="N89" s="30"/>
      <c r="O89" s="30"/>
      <c r="P89" s="30"/>
      <c r="Q89" s="30"/>
      <c r="R89" s="30"/>
      <c r="S89" s="30"/>
      <c r="T89" s="30"/>
    </row>
    <row r="90" spans="1:21" x14ac:dyDescent="0.4">
      <c r="A90" s="261" t="s">
        <v>76</v>
      </c>
      <c r="B90" s="262"/>
      <c r="C90" s="262"/>
      <c r="D90" s="271"/>
      <c r="E90" s="272" t="s">
        <v>78</v>
      </c>
      <c r="F90" s="273"/>
      <c r="G90" s="273"/>
      <c r="H90" s="95"/>
      <c r="I90" s="95"/>
      <c r="J90" s="107" t="str">
        <f>+H7</f>
        <v xml:space="preserve">16 Years, 10 Months, 5 Days </v>
      </c>
      <c r="K90" s="95"/>
      <c r="L90" s="97"/>
      <c r="M90" s="30"/>
      <c r="N90" s="30"/>
      <c r="O90" s="30"/>
      <c r="P90" s="30"/>
      <c r="Q90" s="30"/>
      <c r="R90" s="30"/>
      <c r="S90" s="30"/>
      <c r="T90" s="30"/>
    </row>
    <row r="91" spans="1:21" x14ac:dyDescent="0.4">
      <c r="A91" s="261" t="s">
        <v>17</v>
      </c>
      <c r="B91" s="262"/>
      <c r="C91" s="262"/>
      <c r="D91" s="97">
        <f>+D78</f>
        <v>46200</v>
      </c>
      <c r="E91" s="105" t="s">
        <v>70</v>
      </c>
      <c r="F91" s="95">
        <f>+D91</f>
        <v>46200</v>
      </c>
      <c r="G91" s="95"/>
      <c r="H91" s="95">
        <f>+D91</f>
        <v>46200</v>
      </c>
      <c r="I91" s="95"/>
      <c r="J91" s="95">
        <f>+D91</f>
        <v>46200</v>
      </c>
      <c r="K91" s="95">
        <f>+D91</f>
        <v>46200</v>
      </c>
      <c r="L91" s="97">
        <f>+F91</f>
        <v>46200</v>
      </c>
      <c r="M91" s="30"/>
      <c r="N91" s="30"/>
      <c r="O91" s="30"/>
      <c r="P91" s="30"/>
      <c r="Q91" s="30"/>
      <c r="R91" s="30"/>
      <c r="S91" s="30"/>
      <c r="T91" s="30"/>
    </row>
    <row r="92" spans="1:21" x14ac:dyDescent="0.4">
      <c r="A92" s="261" t="s">
        <v>37</v>
      </c>
      <c r="B92" s="262"/>
      <c r="C92" s="262"/>
      <c r="D92" s="97">
        <f>+D91/2</f>
        <v>23100</v>
      </c>
      <c r="E92" s="105" t="s">
        <v>71</v>
      </c>
      <c r="F92" s="95">
        <f>+DATEDIF(H5, H6, "m")</f>
        <v>202</v>
      </c>
      <c r="G92" s="95"/>
      <c r="H92" s="95">
        <f>+H91/2</f>
        <v>23100</v>
      </c>
      <c r="I92" s="95"/>
      <c r="J92" s="95">
        <f>J91/2</f>
        <v>23100</v>
      </c>
      <c r="K92" s="95">
        <f>K91/2</f>
        <v>23100</v>
      </c>
      <c r="L92" s="97">
        <f>(F92*2)/12</f>
        <v>33.666666666666664</v>
      </c>
      <c r="M92" s="30"/>
      <c r="N92" s="30"/>
      <c r="O92" s="30"/>
      <c r="P92" s="30"/>
      <c r="Q92" s="30"/>
      <c r="R92" s="30"/>
      <c r="S92" s="30"/>
      <c r="T92" s="30"/>
    </row>
    <row r="93" spans="1:21" x14ac:dyDescent="0.4">
      <c r="A93" s="261" t="s">
        <v>19</v>
      </c>
      <c r="B93" s="262"/>
      <c r="C93" s="262"/>
      <c r="D93" s="97">
        <f>ROUND(D92*D46,0)</f>
        <v>12936</v>
      </c>
      <c r="E93" s="98" t="s">
        <v>72</v>
      </c>
      <c r="F93" s="95">
        <f>ROUND(T46*36%,0)</f>
        <v>1013867</v>
      </c>
      <c r="G93" s="106" t="s">
        <v>49</v>
      </c>
      <c r="H93" s="95">
        <f>300/300</f>
        <v>1</v>
      </c>
      <c r="I93" s="95"/>
      <c r="J93" s="95">
        <f>IF(F92&gt;300,300/300,F92/300)</f>
        <v>0.67333333333333334</v>
      </c>
      <c r="K93" s="95">
        <f>+IF(F92&gt;300,300/300,F92/300)</f>
        <v>0.67333333333333334</v>
      </c>
      <c r="L93" s="97"/>
      <c r="M93" s="30"/>
      <c r="N93" s="30"/>
      <c r="O93" s="30"/>
      <c r="P93" s="30"/>
      <c r="Q93" s="30"/>
      <c r="R93" s="30"/>
      <c r="S93" s="30"/>
      <c r="T93" s="30"/>
    </row>
    <row r="94" spans="1:21" x14ac:dyDescent="0.4">
      <c r="A94" s="261" t="s">
        <v>18</v>
      </c>
      <c r="B94" s="262"/>
      <c r="C94" s="262"/>
      <c r="D94" s="97">
        <f>+D92+D93</f>
        <v>36036</v>
      </c>
      <c r="E94" s="98" t="s">
        <v>73</v>
      </c>
      <c r="F94" s="95">
        <f>+F93</f>
        <v>1013867</v>
      </c>
      <c r="G94" s="108" t="s">
        <v>77</v>
      </c>
      <c r="H94" s="95">
        <f>+F93/F94</f>
        <v>1</v>
      </c>
      <c r="I94" s="95"/>
      <c r="J94" s="95">
        <f>+F93/F94</f>
        <v>1</v>
      </c>
      <c r="K94" s="95">
        <f>3750000/F94</f>
        <v>3.6987099885882468</v>
      </c>
      <c r="L94" s="97"/>
      <c r="M94" s="30"/>
      <c r="N94" s="30"/>
      <c r="O94" s="30"/>
      <c r="P94" s="30"/>
      <c r="Q94" s="30"/>
      <c r="R94" s="30"/>
      <c r="S94" s="30"/>
      <c r="T94" s="30"/>
    </row>
    <row r="95" spans="1:21" x14ac:dyDescent="0.4">
      <c r="A95" s="98"/>
      <c r="B95" s="95"/>
      <c r="C95" s="95"/>
      <c r="D95" s="97"/>
      <c r="E95" s="98" t="s">
        <v>18</v>
      </c>
      <c r="F95" s="95"/>
      <c r="G95" s="95"/>
      <c r="H95" s="95">
        <f>ROUND((H91/2)*H93*H94,0)</f>
        <v>23100</v>
      </c>
      <c r="I95" s="95"/>
      <c r="J95" s="95">
        <f>+ROUND((J92)*J93*J94,0)</f>
        <v>15554</v>
      </c>
      <c r="K95" s="95">
        <f>ROUND((K92)*K93*K94,0)</f>
        <v>57530</v>
      </c>
      <c r="L95" s="97"/>
      <c r="M95" s="30"/>
      <c r="N95" s="30"/>
      <c r="O95" s="30"/>
      <c r="P95" s="30"/>
      <c r="Q95" s="30"/>
      <c r="R95" s="30"/>
      <c r="S95" s="30"/>
      <c r="T95" s="30"/>
    </row>
    <row r="96" spans="1:21" x14ac:dyDescent="0.4">
      <c r="A96" s="98"/>
      <c r="B96" s="95"/>
      <c r="C96" s="95"/>
      <c r="D96" s="97"/>
      <c r="E96" s="98" t="s">
        <v>50</v>
      </c>
      <c r="F96" s="95"/>
      <c r="G96" s="95"/>
      <c r="H96" s="95">
        <f>ROUND(H95*D46,0)</f>
        <v>12936</v>
      </c>
      <c r="I96" s="95"/>
      <c r="J96" s="95">
        <f>ROUND(J95*D46,0)</f>
        <v>8710</v>
      </c>
      <c r="K96" s="95">
        <f>ROUND(K95*D46,0)</f>
        <v>32217</v>
      </c>
      <c r="L96" s="97">
        <f>ROUND(L91*D46,0)</f>
        <v>25872</v>
      </c>
      <c r="M96" s="30"/>
      <c r="N96" s="30"/>
      <c r="O96" s="30"/>
      <c r="P96" s="30"/>
      <c r="Q96" s="30"/>
      <c r="R96" s="30"/>
      <c r="S96" s="30"/>
      <c r="T96" s="30"/>
    </row>
    <row r="97" spans="1:20" x14ac:dyDescent="0.4">
      <c r="A97" s="274" t="s">
        <v>74</v>
      </c>
      <c r="B97" s="275"/>
      <c r="C97" s="275"/>
      <c r="D97" s="97">
        <f>ROUND(D91*30%,0)</f>
        <v>13860</v>
      </c>
      <c r="E97" s="109" t="s">
        <v>51</v>
      </c>
      <c r="F97" s="95"/>
      <c r="G97" s="95"/>
      <c r="H97" s="95">
        <f>SUM(H95:H96)</f>
        <v>36036</v>
      </c>
      <c r="I97" s="95"/>
      <c r="J97" s="95">
        <f>SUM(J95:J96)</f>
        <v>24264</v>
      </c>
      <c r="K97" s="95">
        <f>SUM(K95:K96)</f>
        <v>89747</v>
      </c>
      <c r="L97" s="97">
        <f>ROUND((L96/10)*L92,0)</f>
        <v>87102</v>
      </c>
      <c r="M97" s="30">
        <f>+K84</f>
        <v>392700</v>
      </c>
      <c r="N97" s="30"/>
      <c r="O97" s="30"/>
      <c r="P97" s="30"/>
      <c r="Q97" s="30"/>
      <c r="R97" s="30"/>
      <c r="S97" s="30"/>
      <c r="T97" s="30"/>
    </row>
    <row r="98" spans="1:20" x14ac:dyDescent="0.4">
      <c r="A98" s="261" t="s">
        <v>47</v>
      </c>
      <c r="B98" s="262"/>
      <c r="C98" s="262"/>
      <c r="D98" s="97">
        <f>+ROUND(D97*D46,0)</f>
        <v>7762</v>
      </c>
      <c r="E98" s="98"/>
      <c r="F98" s="95"/>
      <c r="G98" s="95"/>
      <c r="H98" s="95"/>
      <c r="I98" s="95"/>
      <c r="J98" s="95"/>
      <c r="K98" s="95"/>
      <c r="L98" s="110" t="s">
        <v>80</v>
      </c>
      <c r="M98" s="30">
        <f>+M97-L97</f>
        <v>305598</v>
      </c>
      <c r="N98" s="113" t="s">
        <v>85</v>
      </c>
      <c r="O98" s="30"/>
      <c r="P98" s="30"/>
      <c r="Q98" s="30"/>
      <c r="R98" s="30"/>
      <c r="S98" s="30"/>
      <c r="T98" s="30"/>
    </row>
    <row r="99" spans="1:20" x14ac:dyDescent="0.4">
      <c r="A99" s="98"/>
      <c r="B99" s="96"/>
      <c r="C99" s="96"/>
      <c r="D99" s="97">
        <f>+D97+D98</f>
        <v>21622</v>
      </c>
      <c r="E99" s="98"/>
      <c r="F99" s="112">
        <f>+G84</f>
        <v>2816298</v>
      </c>
      <c r="G99" s="107" t="s">
        <v>82</v>
      </c>
      <c r="H99" s="95"/>
      <c r="I99" s="95"/>
      <c r="J99" s="95" t="s">
        <v>83</v>
      </c>
      <c r="K99" s="95"/>
      <c r="L99" s="97"/>
      <c r="M99" s="30"/>
      <c r="N99" s="30"/>
      <c r="O99" s="30"/>
      <c r="P99" s="30"/>
      <c r="Q99" s="30"/>
      <c r="R99" s="30"/>
      <c r="S99" s="30"/>
      <c r="T99" s="30"/>
    </row>
    <row r="100" spans="1:20" x14ac:dyDescent="0.4">
      <c r="A100" s="99"/>
      <c r="B100" s="100" t="s">
        <v>46</v>
      </c>
      <c r="C100" s="100"/>
      <c r="D100" s="101"/>
      <c r="E100" s="99"/>
      <c r="F100" s="45" t="s">
        <v>113</v>
      </c>
      <c r="G100" s="50"/>
      <c r="H100" s="115">
        <f>+I85</f>
        <v>720720</v>
      </c>
      <c r="I100" s="100"/>
      <c r="J100" s="100"/>
      <c r="K100" s="100"/>
      <c r="L100" s="101"/>
      <c r="M100" s="30"/>
      <c r="N100" s="30"/>
      <c r="O100" s="30"/>
      <c r="P100" s="30"/>
      <c r="Q100" s="30"/>
      <c r="R100" s="30"/>
      <c r="S100" s="30"/>
      <c r="T100" s="30"/>
    </row>
  </sheetData>
  <mergeCells count="87">
    <mergeCell ref="U2:U86"/>
    <mergeCell ref="C3:D3"/>
    <mergeCell ref="H5:I5"/>
    <mergeCell ref="H6:I6"/>
    <mergeCell ref="C7:D7"/>
    <mergeCell ref="K8:L8"/>
    <mergeCell ref="D9:E9"/>
    <mergeCell ref="A47:M47"/>
    <mergeCell ref="A48:E48"/>
    <mergeCell ref="B49:C49"/>
    <mergeCell ref="D49:E49"/>
    <mergeCell ref="G49:J56"/>
    <mergeCell ref="B50:C50"/>
    <mergeCell ref="D50:E50"/>
    <mergeCell ref="B51:C51"/>
    <mergeCell ref="D51:E51"/>
    <mergeCell ref="B52:C52"/>
    <mergeCell ref="D52:E52"/>
    <mergeCell ref="B53:C53"/>
    <mergeCell ref="D53:E53"/>
    <mergeCell ref="A61:C61"/>
    <mergeCell ref="D61:E61"/>
    <mergeCell ref="A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L59"/>
    <mergeCell ref="A60:C60"/>
    <mergeCell ref="D60:E60"/>
    <mergeCell ref="A62:C62"/>
    <mergeCell ref="D62:E62"/>
    <mergeCell ref="G62:J67"/>
    <mergeCell ref="A63:E63"/>
    <mergeCell ref="A64:E64"/>
    <mergeCell ref="B66:C66"/>
    <mergeCell ref="D66:E66"/>
    <mergeCell ref="B67:C67"/>
    <mergeCell ref="D67:E67"/>
    <mergeCell ref="A74:C74"/>
    <mergeCell ref="D74:E74"/>
    <mergeCell ref="B68:C68"/>
    <mergeCell ref="D68:E68"/>
    <mergeCell ref="B69:C69"/>
    <mergeCell ref="D69:E69"/>
    <mergeCell ref="B70:C70"/>
    <mergeCell ref="D70:E70"/>
    <mergeCell ref="A71:E71"/>
    <mergeCell ref="A72:C72"/>
    <mergeCell ref="D72:E72"/>
    <mergeCell ref="A73:C73"/>
    <mergeCell ref="D73:E73"/>
    <mergeCell ref="A83:C83"/>
    <mergeCell ref="D83:E83"/>
    <mergeCell ref="A75:L75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A82:E82"/>
    <mergeCell ref="A91:C91"/>
    <mergeCell ref="A84:C84"/>
    <mergeCell ref="D84:E84"/>
    <mergeCell ref="A85:C85"/>
    <mergeCell ref="D85:E85"/>
    <mergeCell ref="A87:L87"/>
    <mergeCell ref="A88:L88"/>
    <mergeCell ref="A89:D89"/>
    <mergeCell ref="E89:G89"/>
    <mergeCell ref="H89:I89"/>
    <mergeCell ref="A90:D90"/>
    <mergeCell ref="E90:G90"/>
    <mergeCell ref="A92:C92"/>
    <mergeCell ref="A93:C93"/>
    <mergeCell ref="A94:C94"/>
    <mergeCell ref="A97:C97"/>
    <mergeCell ref="A98:C98"/>
  </mergeCells>
  <pageMargins left="0.31496062992125984" right="0.11811023622047245" top="0.15748031496062992" bottom="0.35433070866141736" header="0" footer="0"/>
  <pageSetup paperSize="9" orientation="landscape" r:id="rId1"/>
  <rowBreaks count="2" manualBreakCount="2">
    <brk id="46" max="16383" man="1"/>
    <brk id="7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EF23F-7D00-4100-9DF5-7CA57016FFC6}">
  <dimension ref="A1:V100"/>
  <sheetViews>
    <sheetView view="pageBreakPreview" zoomScale="160" zoomScaleNormal="175" zoomScaleSheetLayoutView="160" workbookViewId="0">
      <pane ySplit="2" topLeftCell="A61" activePane="bottomLeft" state="frozen"/>
      <selection pane="bottomLeft" activeCell="D62" sqref="D62:E62"/>
    </sheetView>
  </sheetViews>
  <sheetFormatPr defaultRowHeight="18" x14ac:dyDescent="0.4"/>
  <cols>
    <col min="1" max="1" width="14.85546875" style="1" customWidth="1"/>
    <col min="2" max="2" width="9.140625" style="1" customWidth="1"/>
    <col min="3" max="3" width="10.7109375" style="1" customWidth="1"/>
    <col min="4" max="4" width="11.7109375" style="1" customWidth="1"/>
    <col min="5" max="5" width="10.28515625" style="1" customWidth="1"/>
    <col min="6" max="6" width="11.42578125" style="1" customWidth="1"/>
    <col min="7" max="7" width="9.7109375" style="1" customWidth="1"/>
    <col min="8" max="8" width="11" style="1" customWidth="1"/>
    <col min="9" max="9" width="15.140625" style="1" customWidth="1"/>
    <col min="10" max="10" width="12.28515625" style="1" customWidth="1"/>
    <col min="11" max="11" width="12.5703125" style="1" customWidth="1"/>
    <col min="12" max="12" width="11.85546875" style="1" customWidth="1"/>
    <col min="13" max="13" width="14.5703125" style="1" customWidth="1"/>
    <col min="14" max="14" width="13.140625" style="8" customWidth="1"/>
    <col min="15" max="15" width="11.7109375" style="8" customWidth="1"/>
    <col min="16" max="16" width="8.85546875" style="1" customWidth="1"/>
    <col min="17" max="17" width="9" style="1" bestFit="1" customWidth="1"/>
    <col min="18" max="18" width="9.5703125" style="1" bestFit="1" customWidth="1"/>
    <col min="19" max="19" width="10.7109375" style="1" bestFit="1" customWidth="1"/>
    <col min="20" max="20" width="13" style="1" customWidth="1"/>
    <col min="21" max="21" width="9.140625" style="1"/>
    <col min="22" max="22" width="12.42578125" style="1" bestFit="1" customWidth="1"/>
    <col min="23" max="16384" width="9.140625" style="1"/>
  </cols>
  <sheetData>
    <row r="1" spans="1:21" ht="3" customHeight="1" x14ac:dyDescent="0.4"/>
    <row r="2" spans="1:21" s="4" customFormat="1" ht="59.25" customHeight="1" x14ac:dyDescent="0.25">
      <c r="A2" s="6" t="s">
        <v>0</v>
      </c>
      <c r="B2" s="7" t="s">
        <v>34</v>
      </c>
      <c r="C2" s="7" t="s">
        <v>12</v>
      </c>
      <c r="D2" s="7" t="s">
        <v>3</v>
      </c>
      <c r="E2" s="7" t="s">
        <v>1</v>
      </c>
      <c r="F2" s="7" t="s">
        <v>2</v>
      </c>
      <c r="G2" s="7" t="s">
        <v>14</v>
      </c>
      <c r="H2" s="7" t="s">
        <v>13</v>
      </c>
      <c r="I2" s="7" t="s">
        <v>4</v>
      </c>
      <c r="J2" s="7" t="s">
        <v>15</v>
      </c>
      <c r="K2" s="7" t="s">
        <v>11</v>
      </c>
      <c r="L2" s="7" t="s">
        <v>20</v>
      </c>
      <c r="M2" s="7" t="s">
        <v>6</v>
      </c>
      <c r="N2" s="15" t="s">
        <v>5</v>
      </c>
      <c r="O2" s="15" t="s">
        <v>7</v>
      </c>
      <c r="P2" s="19" t="s">
        <v>9</v>
      </c>
      <c r="Q2" s="19" t="s">
        <v>8</v>
      </c>
      <c r="R2" s="19" t="s">
        <v>10</v>
      </c>
      <c r="S2" s="19" t="s">
        <v>16</v>
      </c>
      <c r="T2" s="19" t="s">
        <v>33</v>
      </c>
      <c r="U2" s="242"/>
    </row>
    <row r="3" spans="1:21" ht="18.75" customHeight="1" x14ac:dyDescent="0.4">
      <c r="A3" s="10" t="s">
        <v>32</v>
      </c>
      <c r="B3" s="11"/>
      <c r="C3" s="243">
        <v>56100</v>
      </c>
      <c r="D3" s="244"/>
      <c r="E3" s="2"/>
      <c r="F3" s="9"/>
      <c r="G3" s="3">
        <v>0.14000000000000001</v>
      </c>
      <c r="H3" s="3">
        <v>0.1</v>
      </c>
      <c r="I3" s="2"/>
      <c r="J3" s="3"/>
      <c r="K3" s="3"/>
      <c r="L3" s="3"/>
      <c r="M3" s="3"/>
      <c r="N3" s="16">
        <v>0.06</v>
      </c>
      <c r="O3" s="17"/>
      <c r="P3" s="20"/>
      <c r="Q3" s="21">
        <v>0.04</v>
      </c>
      <c r="R3" s="20"/>
      <c r="S3" s="20"/>
      <c r="T3" s="20"/>
      <c r="U3" s="242"/>
    </row>
    <row r="4" spans="1:21" x14ac:dyDescent="0.4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7">
        <v>14</v>
      </c>
      <c r="O4" s="17">
        <v>15</v>
      </c>
      <c r="P4" s="20">
        <v>16</v>
      </c>
      <c r="Q4" s="20">
        <v>17</v>
      </c>
      <c r="R4" s="20">
        <v>18</v>
      </c>
      <c r="S4" s="20">
        <v>19</v>
      </c>
      <c r="T4" s="20">
        <v>20</v>
      </c>
      <c r="U4" s="242"/>
    </row>
    <row r="5" spans="1:21" x14ac:dyDescent="0.4">
      <c r="A5" s="64" t="s">
        <v>24</v>
      </c>
      <c r="B5" s="65"/>
      <c r="C5" s="66" t="s">
        <v>87</v>
      </c>
      <c r="D5" s="65"/>
      <c r="E5" s="65"/>
      <c r="F5" s="67" t="s">
        <v>25</v>
      </c>
      <c r="G5" s="68"/>
      <c r="H5" s="245">
        <v>45658</v>
      </c>
      <c r="I5" s="245"/>
      <c r="J5" s="69"/>
      <c r="K5" s="70" t="s">
        <v>29</v>
      </c>
      <c r="L5" s="71">
        <f ca="1">TODAY()</f>
        <v>46229</v>
      </c>
      <c r="M5" s="69"/>
      <c r="N5" s="72"/>
      <c r="O5" s="73"/>
      <c r="P5" s="74"/>
      <c r="Q5" s="74"/>
      <c r="R5" s="74"/>
      <c r="S5" s="74"/>
      <c r="T5" s="75"/>
      <c r="U5" s="242"/>
    </row>
    <row r="6" spans="1:21" x14ac:dyDescent="0.4">
      <c r="A6" s="76" t="s">
        <v>22</v>
      </c>
      <c r="B6" s="77"/>
      <c r="C6" s="78" t="s">
        <v>88</v>
      </c>
      <c r="D6" s="77"/>
      <c r="E6" s="77"/>
      <c r="F6" s="79" t="s">
        <v>27</v>
      </c>
      <c r="G6" s="80"/>
      <c r="H6" s="246">
        <f>EOMONTH(C7-1,12*58)</f>
        <v>57830</v>
      </c>
      <c r="I6" s="246"/>
      <c r="J6" s="81"/>
      <c r="K6" s="82" t="s">
        <v>30</v>
      </c>
      <c r="L6" s="83" t="str">
        <f ca="1">+DATEDIF(H5,L5,"Y")&amp;" Years, "&amp;DATEDIF(H5,L5,"Ym")&amp;" Months, "&amp;DATEDIF(H5,L5,"md")&amp;" Days "</f>
        <v xml:space="preserve">1 Years, 6 Months, 25 Days </v>
      </c>
      <c r="M6" s="81"/>
      <c r="N6" s="33"/>
      <c r="O6" s="33"/>
      <c r="P6" s="84"/>
      <c r="Q6" s="84"/>
      <c r="R6" s="84"/>
      <c r="S6" s="84"/>
      <c r="T6" s="85"/>
      <c r="U6" s="242"/>
    </row>
    <row r="7" spans="1:21" x14ac:dyDescent="0.4">
      <c r="A7" s="76" t="s">
        <v>26</v>
      </c>
      <c r="B7" s="77"/>
      <c r="C7" s="247">
        <v>36646</v>
      </c>
      <c r="D7" s="247"/>
      <c r="E7" s="77"/>
      <c r="F7" s="86" t="s">
        <v>28</v>
      </c>
      <c r="G7" s="80"/>
      <c r="H7" s="87" t="str">
        <f>+DATEDIF(H5,H6,"Y")&amp;" Years, "&amp;DATEDIF(H5,H6,"Ym")&amp;" Months, "&amp;DATEDIF(H5,H6,"md")&amp;" Days "</f>
        <v xml:space="preserve">33 Years, 3 Months, 29 Days </v>
      </c>
      <c r="I7" s="80"/>
      <c r="J7" s="81"/>
      <c r="K7" s="81"/>
      <c r="L7" s="81"/>
      <c r="M7" s="81"/>
      <c r="N7" s="33"/>
      <c r="O7" s="33"/>
      <c r="P7" s="84"/>
      <c r="Q7" s="84"/>
      <c r="R7" s="84"/>
      <c r="S7" s="84"/>
      <c r="T7" s="85"/>
      <c r="U7" s="242"/>
    </row>
    <row r="8" spans="1:21" x14ac:dyDescent="0.4">
      <c r="A8" s="88" t="s">
        <v>31</v>
      </c>
      <c r="B8" s="89"/>
      <c r="C8" s="89"/>
      <c r="D8" s="89"/>
      <c r="E8" s="89"/>
      <c r="F8" s="89"/>
      <c r="G8" s="89"/>
      <c r="H8" s="89"/>
      <c r="I8" s="89"/>
      <c r="J8" s="89"/>
      <c r="K8" s="248">
        <v>0</v>
      </c>
      <c r="L8" s="248"/>
      <c r="M8" s="89"/>
      <c r="N8" s="89"/>
      <c r="O8" s="89"/>
      <c r="P8" s="89"/>
      <c r="Q8" s="89"/>
      <c r="R8" s="89"/>
      <c r="S8" s="89"/>
      <c r="T8" s="89"/>
      <c r="U8" s="242"/>
    </row>
    <row r="9" spans="1:21" x14ac:dyDescent="0.4">
      <c r="A9" s="90"/>
      <c r="B9" s="29"/>
      <c r="C9" s="29"/>
      <c r="D9" s="249"/>
      <c r="E9" s="249"/>
      <c r="F9" s="29"/>
      <c r="G9" s="91">
        <f>ROUND(K8*64%,0)</f>
        <v>0</v>
      </c>
      <c r="H9" s="91">
        <f>ROUND(K8*36%,0)</f>
        <v>0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42"/>
    </row>
    <row r="10" spans="1:21" x14ac:dyDescent="0.4">
      <c r="A10" s="58">
        <v>45658</v>
      </c>
      <c r="B10" s="59">
        <v>1</v>
      </c>
      <c r="C10" s="36">
        <f>+C3</f>
        <v>56100</v>
      </c>
      <c r="D10" s="60">
        <v>0.56000000000000005</v>
      </c>
      <c r="E10" s="59">
        <f>ROUND(C10*D10,0)</f>
        <v>31416</v>
      </c>
      <c r="F10" s="59">
        <f>+C10+E10</f>
        <v>87516</v>
      </c>
      <c r="G10" s="59">
        <f>ROUND(F10*$G$3,0)</f>
        <v>12252</v>
      </c>
      <c r="H10" s="59">
        <f>ROUND(F10*$H$3,0)</f>
        <v>8752</v>
      </c>
      <c r="I10" s="59">
        <f>+G10+H10</f>
        <v>21004</v>
      </c>
      <c r="J10" s="59">
        <f>+G10*12+G9</f>
        <v>147024</v>
      </c>
      <c r="K10" s="59">
        <f>+H10*12+H9</f>
        <v>105024</v>
      </c>
      <c r="L10" s="59">
        <f>+J10+K10</f>
        <v>252048</v>
      </c>
      <c r="M10" s="59">
        <f>+L10</f>
        <v>252048</v>
      </c>
      <c r="N10" s="61">
        <f>ROUND(M10*$N$3,0)</f>
        <v>15123</v>
      </c>
      <c r="O10" s="61">
        <f>+M10+N10</f>
        <v>267171</v>
      </c>
      <c r="P10" s="62">
        <f>+A10</f>
        <v>45658</v>
      </c>
      <c r="Q10" s="63">
        <v>40</v>
      </c>
      <c r="R10" s="25">
        <f>+M10/Q10</f>
        <v>6301.2</v>
      </c>
      <c r="S10" s="63">
        <f>+R10</f>
        <v>6301.2</v>
      </c>
      <c r="T10" s="25">
        <f>ROUND(Q10*S10,0)</f>
        <v>252048</v>
      </c>
      <c r="U10" s="242"/>
    </row>
    <row r="11" spans="1:21" s="5" customFormat="1" x14ac:dyDescent="0.4">
      <c r="A11" s="12">
        <f>+IF($H$6&lt;=A10,"",DATE(YEAR(A10)+1,MONTH(A10),1))</f>
        <v>46023</v>
      </c>
      <c r="B11" s="13">
        <f>IF(OR(A11=0,A11=""),0,(B10+1))</f>
        <v>2</v>
      </c>
      <c r="C11" s="36">
        <f>+IF($H$6&lt;A10,"",IF(CEILING(C10*3%,100)-ROUND(C10*3%,0)&lt;=50,CEILING(C10*3%,100),CEILING(C10*3%,100)-100)+C10)</f>
        <v>57800</v>
      </c>
      <c r="D11" s="14">
        <f>IF(OR(A11=0, A11=""), 0, (D10+6%))</f>
        <v>0.62000000000000011</v>
      </c>
      <c r="E11" s="13">
        <f>IF(OR(A11=0,A11=""),0,ROUND(C11*D11,0))</f>
        <v>35836</v>
      </c>
      <c r="F11" s="13">
        <f>IF(OR(A11=0,A11=""),0,(C11+E11))</f>
        <v>93636</v>
      </c>
      <c r="G11" s="13">
        <f>ROUND(F11*$G$3,0)</f>
        <v>13109</v>
      </c>
      <c r="H11" s="13">
        <f t="shared" ref="H11" si="0">ROUND(F11*$H$3,0)</f>
        <v>9364</v>
      </c>
      <c r="I11" s="13">
        <f>+G11+H11</f>
        <v>22473</v>
      </c>
      <c r="J11" s="13">
        <f>+G11*12</f>
        <v>157308</v>
      </c>
      <c r="K11" s="13">
        <f>+H11*12</f>
        <v>112368</v>
      </c>
      <c r="L11" s="13">
        <f>+J11+K11</f>
        <v>269676</v>
      </c>
      <c r="M11" s="13">
        <f>IF(OR(A11=0,A11=""),0,(L11+M10))</f>
        <v>521724</v>
      </c>
      <c r="N11" s="18">
        <f>ROUND(M11*$N$3,0)</f>
        <v>31303</v>
      </c>
      <c r="O11" s="18">
        <f>+M11+N11</f>
        <v>553027</v>
      </c>
      <c r="P11" s="22">
        <f t="shared" ref="P11:P42" si="1">+A11</f>
        <v>46023</v>
      </c>
      <c r="Q11" s="23">
        <f>IF(OR(A11=0,A11=""),0,(Q10*$Q$3+Q10))</f>
        <v>41.6</v>
      </c>
      <c r="R11" s="23">
        <f>IF(OR(A11=0,A11=""),0,(L11/Q11))</f>
        <v>6482.5961538461534</v>
      </c>
      <c r="S11" s="23">
        <f t="shared" ref="S11:S15" si="2">IF(OR(A11=0,A11=""),0,(S10+R11))</f>
        <v>12783.796153846153</v>
      </c>
      <c r="T11" s="24">
        <f t="shared" ref="T11:T45" si="3">ROUND(Q11*S11,0)</f>
        <v>531806</v>
      </c>
      <c r="U11" s="242"/>
    </row>
    <row r="12" spans="1:21" x14ac:dyDescent="0.4">
      <c r="A12" s="12">
        <f t="shared" ref="A12:A45" si="4">+IF($H$6&lt;=A11,"",DATE(YEAR(A11)+1,MONTH(A11),1))</f>
        <v>46388</v>
      </c>
      <c r="B12" s="13">
        <f t="shared" ref="B12:B45" si="5">IF(OR(A12=0,A12=""),0,(B11+1))</f>
        <v>3</v>
      </c>
      <c r="C12" s="36">
        <f>+IF($H$6&lt;A11,"",IF(CEILING(C11*3%,100)-ROUND(C11*3%,0)&lt;=50,CEILING(C11*3%,100),CEILING(C11*3%,100)-100)+C11)</f>
        <v>59500</v>
      </c>
      <c r="D12" s="14">
        <f t="shared" ref="D12:D45" si="6">IF(OR(A12=0, A12=""), 0, (D11+6%))</f>
        <v>0.68000000000000016</v>
      </c>
      <c r="E12" s="13">
        <f t="shared" ref="E12:E45" si="7">IF(OR(A12=0,A12=""),0,ROUND(C12*D12,0))</f>
        <v>40460</v>
      </c>
      <c r="F12" s="13">
        <f t="shared" ref="F12:F45" si="8">IF(OR(A12=0,A12=""),0,(C12+E12))</f>
        <v>99960</v>
      </c>
      <c r="G12" s="13">
        <f>ROUND(F12*$G$3,0)</f>
        <v>13994</v>
      </c>
      <c r="H12" s="13">
        <f>ROUND(F12*$H$3,0)</f>
        <v>9996</v>
      </c>
      <c r="I12" s="13">
        <f>+G12+H12</f>
        <v>23990</v>
      </c>
      <c r="J12" s="13">
        <f t="shared" ref="J12:K27" si="9">+G12*12</f>
        <v>167928</v>
      </c>
      <c r="K12" s="13">
        <f t="shared" si="9"/>
        <v>119952</v>
      </c>
      <c r="L12" s="13">
        <f t="shared" ref="L12:L45" si="10">+J12+K12</f>
        <v>287880</v>
      </c>
      <c r="M12" s="13">
        <f t="shared" ref="M12:M45" si="11">IF(OR(A12=0,A12=""),0,(L12+M11))</f>
        <v>809604</v>
      </c>
      <c r="N12" s="18">
        <f>ROUND(M12*$N$3,0)</f>
        <v>48576</v>
      </c>
      <c r="O12" s="18">
        <f t="shared" ref="O12:O45" si="12">+M12+N12</f>
        <v>858180</v>
      </c>
      <c r="P12" s="22">
        <f t="shared" si="1"/>
        <v>46388</v>
      </c>
      <c r="Q12" s="23">
        <f t="shared" ref="Q12:Q45" si="13">IF(OR(A12=0,A12=""),0,(Q11*$Q$3+Q11))</f>
        <v>43.264000000000003</v>
      </c>
      <c r="R12" s="23">
        <f t="shared" ref="R12:R45" si="14">IF(OR(A12=0,A12=""),0,(L12/Q12))</f>
        <v>6654.0310650887568</v>
      </c>
      <c r="S12" s="23">
        <f t="shared" si="2"/>
        <v>19437.827218934908</v>
      </c>
      <c r="T12" s="24">
        <f t="shared" si="3"/>
        <v>840958</v>
      </c>
      <c r="U12" s="242"/>
    </row>
    <row r="13" spans="1:21" s="5" customFormat="1" x14ac:dyDescent="0.4">
      <c r="A13" s="12">
        <f t="shared" si="4"/>
        <v>46753</v>
      </c>
      <c r="B13" s="13">
        <f t="shared" si="5"/>
        <v>4</v>
      </c>
      <c r="C13" s="36">
        <f>+IF($H$6&lt;A12,"",IF(CEILING(C12*3%,100)-ROUND(C12*3%,0)&lt;=50,CEILING(C12*3%,100),CEILING(C12*3%,100)-100)+C12)</f>
        <v>61300</v>
      </c>
      <c r="D13" s="14">
        <f t="shared" si="6"/>
        <v>0.74000000000000021</v>
      </c>
      <c r="E13" s="13">
        <f t="shared" si="7"/>
        <v>45362</v>
      </c>
      <c r="F13" s="13">
        <f t="shared" si="8"/>
        <v>106662</v>
      </c>
      <c r="G13" s="13">
        <f t="shared" ref="G13:G45" si="15">ROUND(F13*$G$3,0)</f>
        <v>14933</v>
      </c>
      <c r="H13" s="13">
        <f t="shared" ref="H13:H45" si="16">ROUND(F13*$H$3,0)</f>
        <v>10666</v>
      </c>
      <c r="I13" s="13">
        <f t="shared" ref="I13:I45" si="17">+G13+H13</f>
        <v>25599</v>
      </c>
      <c r="J13" s="13">
        <f t="shared" si="9"/>
        <v>179196</v>
      </c>
      <c r="K13" s="13">
        <f t="shared" si="9"/>
        <v>127992</v>
      </c>
      <c r="L13" s="13">
        <f t="shared" si="10"/>
        <v>307188</v>
      </c>
      <c r="M13" s="13">
        <f t="shared" si="11"/>
        <v>1116792</v>
      </c>
      <c r="N13" s="18">
        <f t="shared" ref="N13:N45" si="18">ROUND(M13*$N$3,0)</f>
        <v>67008</v>
      </c>
      <c r="O13" s="18">
        <f t="shared" si="12"/>
        <v>1183800</v>
      </c>
      <c r="P13" s="22">
        <f t="shared" si="1"/>
        <v>46753</v>
      </c>
      <c r="Q13" s="23">
        <f t="shared" si="13"/>
        <v>44.99456</v>
      </c>
      <c r="R13" s="23">
        <f t="shared" si="14"/>
        <v>6827.2253356850251</v>
      </c>
      <c r="S13" s="23">
        <f t="shared" si="2"/>
        <v>26265.052554619935</v>
      </c>
      <c r="T13" s="24">
        <f t="shared" si="3"/>
        <v>1181784</v>
      </c>
      <c r="U13" s="242"/>
    </row>
    <row r="14" spans="1:21" x14ac:dyDescent="0.4">
      <c r="A14" s="12">
        <f>+IF($H$6&lt;=A13,"",DATE(YEAR(A13)+1,MONTH(A13),1))</f>
        <v>47119</v>
      </c>
      <c r="B14" s="13">
        <f t="shared" si="5"/>
        <v>5</v>
      </c>
      <c r="C14" s="36">
        <f t="shared" ref="C14:C24" si="19">+IF($H$6&lt;A13,"",IF(CEILING(C13*3%,100)-ROUND(C13*3%,0)&lt;=50,CEILING(C13*3%,100),CEILING(C13*3%,100)-100)+C13)</f>
        <v>63100</v>
      </c>
      <c r="D14" s="14">
        <f t="shared" si="6"/>
        <v>0.80000000000000027</v>
      </c>
      <c r="E14" s="13">
        <f t="shared" si="7"/>
        <v>50480</v>
      </c>
      <c r="F14" s="13">
        <f t="shared" si="8"/>
        <v>113580</v>
      </c>
      <c r="G14" s="13">
        <f t="shared" si="15"/>
        <v>15901</v>
      </c>
      <c r="H14" s="13">
        <f t="shared" si="16"/>
        <v>11358</v>
      </c>
      <c r="I14" s="13">
        <f t="shared" si="17"/>
        <v>27259</v>
      </c>
      <c r="J14" s="13">
        <f t="shared" si="9"/>
        <v>190812</v>
      </c>
      <c r="K14" s="13">
        <f t="shared" si="9"/>
        <v>136296</v>
      </c>
      <c r="L14" s="13">
        <f t="shared" si="10"/>
        <v>327108</v>
      </c>
      <c r="M14" s="13">
        <f t="shared" si="11"/>
        <v>1443900</v>
      </c>
      <c r="N14" s="18">
        <f t="shared" si="18"/>
        <v>86634</v>
      </c>
      <c r="O14" s="18">
        <f t="shared" si="12"/>
        <v>1530534</v>
      </c>
      <c r="P14" s="22">
        <f t="shared" si="1"/>
        <v>47119</v>
      </c>
      <c r="Q14" s="23">
        <f t="shared" si="13"/>
        <v>46.794342399999998</v>
      </c>
      <c r="R14" s="23">
        <f t="shared" si="14"/>
        <v>6990.3322329837893</v>
      </c>
      <c r="S14" s="23">
        <f t="shared" si="2"/>
        <v>33255.384787603725</v>
      </c>
      <c r="T14" s="24">
        <f t="shared" si="3"/>
        <v>1556164</v>
      </c>
      <c r="U14" s="242"/>
    </row>
    <row r="15" spans="1:21" s="5" customFormat="1" x14ac:dyDescent="0.4">
      <c r="A15" s="12">
        <f>+IF($H$6&lt;=A14,"",DATE(YEAR(A14)+1,MONTH(A14),1))</f>
        <v>47484</v>
      </c>
      <c r="B15" s="13">
        <f t="shared" si="5"/>
        <v>6</v>
      </c>
      <c r="C15" s="36">
        <f t="shared" si="19"/>
        <v>65000</v>
      </c>
      <c r="D15" s="14">
        <f t="shared" si="6"/>
        <v>0.86000000000000032</v>
      </c>
      <c r="E15" s="13">
        <f t="shared" si="7"/>
        <v>55900</v>
      </c>
      <c r="F15" s="13">
        <f t="shared" si="8"/>
        <v>120900</v>
      </c>
      <c r="G15" s="13">
        <f t="shared" si="15"/>
        <v>16926</v>
      </c>
      <c r="H15" s="13">
        <f t="shared" si="16"/>
        <v>12090</v>
      </c>
      <c r="I15" s="13">
        <f t="shared" si="17"/>
        <v>29016</v>
      </c>
      <c r="J15" s="13">
        <f t="shared" si="9"/>
        <v>203112</v>
      </c>
      <c r="K15" s="13">
        <f t="shared" si="9"/>
        <v>145080</v>
      </c>
      <c r="L15" s="13">
        <f t="shared" si="10"/>
        <v>348192</v>
      </c>
      <c r="M15" s="13">
        <f t="shared" si="11"/>
        <v>1792092</v>
      </c>
      <c r="N15" s="18">
        <f t="shared" si="18"/>
        <v>107526</v>
      </c>
      <c r="O15" s="18">
        <f t="shared" si="12"/>
        <v>1899618</v>
      </c>
      <c r="P15" s="22">
        <f t="shared" si="1"/>
        <v>47484</v>
      </c>
      <c r="Q15" s="23">
        <f t="shared" si="13"/>
        <v>48.666116095999996</v>
      </c>
      <c r="R15" s="23">
        <f t="shared" si="14"/>
        <v>7154.7110789188064</v>
      </c>
      <c r="S15" s="23">
        <f t="shared" si="2"/>
        <v>40410.095866522533</v>
      </c>
      <c r="T15" s="24">
        <f t="shared" si="3"/>
        <v>1966602</v>
      </c>
      <c r="U15" s="242"/>
    </row>
    <row r="16" spans="1:21" x14ac:dyDescent="0.4">
      <c r="A16" s="12">
        <f t="shared" si="4"/>
        <v>47849</v>
      </c>
      <c r="B16" s="13">
        <f t="shared" si="5"/>
        <v>7</v>
      </c>
      <c r="C16" s="36">
        <f t="shared" si="19"/>
        <v>67000</v>
      </c>
      <c r="D16" s="14">
        <f t="shared" si="6"/>
        <v>0.92000000000000037</v>
      </c>
      <c r="E16" s="13">
        <f t="shared" si="7"/>
        <v>61640</v>
      </c>
      <c r="F16" s="13">
        <f t="shared" si="8"/>
        <v>128640</v>
      </c>
      <c r="G16" s="13">
        <f t="shared" si="15"/>
        <v>18010</v>
      </c>
      <c r="H16" s="13">
        <f t="shared" si="16"/>
        <v>12864</v>
      </c>
      <c r="I16" s="13">
        <f t="shared" si="17"/>
        <v>30874</v>
      </c>
      <c r="J16" s="13">
        <f t="shared" si="9"/>
        <v>216120</v>
      </c>
      <c r="K16" s="13">
        <f t="shared" si="9"/>
        <v>154368</v>
      </c>
      <c r="L16" s="13">
        <f t="shared" si="10"/>
        <v>370488</v>
      </c>
      <c r="M16" s="13">
        <f t="shared" si="11"/>
        <v>2162580</v>
      </c>
      <c r="N16" s="18">
        <f t="shared" si="18"/>
        <v>129755</v>
      </c>
      <c r="O16" s="18">
        <f t="shared" si="12"/>
        <v>2292335</v>
      </c>
      <c r="P16" s="22">
        <f t="shared" si="1"/>
        <v>47849</v>
      </c>
      <c r="Q16" s="23">
        <f t="shared" si="13"/>
        <v>50.612760739839999</v>
      </c>
      <c r="R16" s="23">
        <f t="shared" si="14"/>
        <v>7320.0512002177575</v>
      </c>
      <c r="S16" s="23">
        <f>IF(OR(A16=0,A16=""),0,(S15+R16))</f>
        <v>47730.14706674029</v>
      </c>
      <c r="T16" s="24">
        <f t="shared" si="3"/>
        <v>2415755</v>
      </c>
      <c r="U16" s="242"/>
    </row>
    <row r="17" spans="1:21" s="5" customFormat="1" x14ac:dyDescent="0.4">
      <c r="A17" s="12">
        <f t="shared" si="4"/>
        <v>48214</v>
      </c>
      <c r="B17" s="13">
        <f t="shared" si="5"/>
        <v>8</v>
      </c>
      <c r="C17" s="36">
        <f t="shared" si="19"/>
        <v>69000</v>
      </c>
      <c r="D17" s="14">
        <f t="shared" si="6"/>
        <v>0.98000000000000043</v>
      </c>
      <c r="E17" s="13">
        <f t="shared" si="7"/>
        <v>67620</v>
      </c>
      <c r="F17" s="13">
        <f t="shared" si="8"/>
        <v>136620</v>
      </c>
      <c r="G17" s="13">
        <f t="shared" si="15"/>
        <v>19127</v>
      </c>
      <c r="H17" s="13">
        <f t="shared" si="16"/>
        <v>13662</v>
      </c>
      <c r="I17" s="13">
        <f t="shared" si="17"/>
        <v>32789</v>
      </c>
      <c r="J17" s="13">
        <f t="shared" si="9"/>
        <v>229524</v>
      </c>
      <c r="K17" s="13">
        <f t="shared" si="9"/>
        <v>163944</v>
      </c>
      <c r="L17" s="13">
        <f t="shared" si="10"/>
        <v>393468</v>
      </c>
      <c r="M17" s="13">
        <f t="shared" si="11"/>
        <v>2556048</v>
      </c>
      <c r="N17" s="18">
        <f t="shared" si="18"/>
        <v>153363</v>
      </c>
      <c r="O17" s="18">
        <f t="shared" si="12"/>
        <v>2709411</v>
      </c>
      <c r="P17" s="22">
        <f t="shared" si="1"/>
        <v>48214</v>
      </c>
      <c r="Q17" s="23">
        <f t="shared" si="13"/>
        <v>52.637271169433596</v>
      </c>
      <c r="R17" s="23">
        <f t="shared" si="14"/>
        <v>7475.0835531247376</v>
      </c>
      <c r="S17" s="23">
        <f t="shared" ref="S17:S45" si="20">IF(OR(A17=0,A17=""),0,(S16+R17))</f>
        <v>55205.230619865026</v>
      </c>
      <c r="T17" s="24">
        <f t="shared" si="3"/>
        <v>2905853</v>
      </c>
      <c r="U17" s="242"/>
    </row>
    <row r="18" spans="1:21" x14ac:dyDescent="0.4">
      <c r="A18" s="12">
        <f t="shared" si="4"/>
        <v>48580</v>
      </c>
      <c r="B18" s="13">
        <f t="shared" si="5"/>
        <v>9</v>
      </c>
      <c r="C18" s="36">
        <f t="shared" si="19"/>
        <v>71100</v>
      </c>
      <c r="D18" s="14">
        <f t="shared" si="6"/>
        <v>1.0400000000000005</v>
      </c>
      <c r="E18" s="13">
        <f t="shared" si="7"/>
        <v>73944</v>
      </c>
      <c r="F18" s="13">
        <f t="shared" si="8"/>
        <v>145044</v>
      </c>
      <c r="G18" s="13">
        <f t="shared" si="15"/>
        <v>20306</v>
      </c>
      <c r="H18" s="13">
        <f t="shared" si="16"/>
        <v>14504</v>
      </c>
      <c r="I18" s="13">
        <f t="shared" si="17"/>
        <v>34810</v>
      </c>
      <c r="J18" s="13">
        <f t="shared" si="9"/>
        <v>243672</v>
      </c>
      <c r="K18" s="13">
        <f t="shared" si="9"/>
        <v>174048</v>
      </c>
      <c r="L18" s="13">
        <f t="shared" si="10"/>
        <v>417720</v>
      </c>
      <c r="M18" s="13">
        <f t="shared" si="11"/>
        <v>2973768</v>
      </c>
      <c r="N18" s="18">
        <f t="shared" si="18"/>
        <v>178426</v>
      </c>
      <c r="O18" s="18">
        <f t="shared" si="12"/>
        <v>3152194</v>
      </c>
      <c r="P18" s="22">
        <f t="shared" si="1"/>
        <v>48580</v>
      </c>
      <c r="Q18" s="23">
        <f t="shared" si="13"/>
        <v>54.742762016210939</v>
      </c>
      <c r="R18" s="23">
        <f t="shared" si="14"/>
        <v>7630.5978108357203</v>
      </c>
      <c r="S18" s="23">
        <f t="shared" si="20"/>
        <v>62835.828430700749</v>
      </c>
      <c r="T18" s="24">
        <f t="shared" si="3"/>
        <v>3439807</v>
      </c>
      <c r="U18" s="242"/>
    </row>
    <row r="19" spans="1:21" s="5" customFormat="1" x14ac:dyDescent="0.4">
      <c r="A19" s="12">
        <f t="shared" si="4"/>
        <v>48945</v>
      </c>
      <c r="B19" s="13">
        <f t="shared" si="5"/>
        <v>10</v>
      </c>
      <c r="C19" s="36">
        <f t="shared" si="19"/>
        <v>73200</v>
      </c>
      <c r="D19" s="14">
        <f t="shared" si="6"/>
        <v>1.1000000000000005</v>
      </c>
      <c r="E19" s="13">
        <f t="shared" si="7"/>
        <v>80520</v>
      </c>
      <c r="F19" s="13">
        <f t="shared" si="8"/>
        <v>153720</v>
      </c>
      <c r="G19" s="13">
        <f t="shared" si="15"/>
        <v>21521</v>
      </c>
      <c r="H19" s="13">
        <f t="shared" si="16"/>
        <v>15372</v>
      </c>
      <c r="I19" s="13">
        <f t="shared" si="17"/>
        <v>36893</v>
      </c>
      <c r="J19" s="13">
        <f t="shared" si="9"/>
        <v>258252</v>
      </c>
      <c r="K19" s="13">
        <f t="shared" si="9"/>
        <v>184464</v>
      </c>
      <c r="L19" s="13">
        <f t="shared" si="10"/>
        <v>442716</v>
      </c>
      <c r="M19" s="13">
        <f t="shared" si="11"/>
        <v>3416484</v>
      </c>
      <c r="N19" s="18">
        <f t="shared" si="18"/>
        <v>204989</v>
      </c>
      <c r="O19" s="18">
        <f t="shared" si="12"/>
        <v>3621473</v>
      </c>
      <c r="P19" s="22">
        <f t="shared" si="1"/>
        <v>48945</v>
      </c>
      <c r="Q19" s="23">
        <f t="shared" si="13"/>
        <v>56.932472496859376</v>
      </c>
      <c r="R19" s="23">
        <f t="shared" si="14"/>
        <v>7776.1597307129423</v>
      </c>
      <c r="S19" s="23">
        <f t="shared" si="20"/>
        <v>70611.988161413698</v>
      </c>
      <c r="T19" s="24">
        <f t="shared" si="3"/>
        <v>4020115</v>
      </c>
      <c r="U19" s="242"/>
    </row>
    <row r="20" spans="1:21" x14ac:dyDescent="0.4">
      <c r="A20" s="12">
        <f t="shared" si="4"/>
        <v>49310</v>
      </c>
      <c r="B20" s="13">
        <f t="shared" si="5"/>
        <v>11</v>
      </c>
      <c r="C20" s="36">
        <f t="shared" si="19"/>
        <v>75400</v>
      </c>
      <c r="D20" s="14">
        <f t="shared" si="6"/>
        <v>1.1600000000000006</v>
      </c>
      <c r="E20" s="13">
        <f t="shared" si="7"/>
        <v>87464</v>
      </c>
      <c r="F20" s="13">
        <f t="shared" si="8"/>
        <v>162864</v>
      </c>
      <c r="G20" s="13">
        <f t="shared" si="15"/>
        <v>22801</v>
      </c>
      <c r="H20" s="13">
        <f t="shared" si="16"/>
        <v>16286</v>
      </c>
      <c r="I20" s="13">
        <f t="shared" si="17"/>
        <v>39087</v>
      </c>
      <c r="J20" s="13">
        <f t="shared" si="9"/>
        <v>273612</v>
      </c>
      <c r="K20" s="13">
        <f t="shared" si="9"/>
        <v>195432</v>
      </c>
      <c r="L20" s="13">
        <f t="shared" si="10"/>
        <v>469044</v>
      </c>
      <c r="M20" s="13">
        <f t="shared" si="11"/>
        <v>3885528</v>
      </c>
      <c r="N20" s="18">
        <f t="shared" si="18"/>
        <v>233132</v>
      </c>
      <c r="O20" s="18">
        <f t="shared" si="12"/>
        <v>4118660</v>
      </c>
      <c r="P20" s="22">
        <f t="shared" si="1"/>
        <v>49310</v>
      </c>
      <c r="Q20" s="23">
        <f t="shared" si="13"/>
        <v>59.20977139673375</v>
      </c>
      <c r="R20" s="23">
        <f t="shared" si="14"/>
        <v>7921.7330000682014</v>
      </c>
      <c r="S20" s="23">
        <f t="shared" si="20"/>
        <v>78533.721161481895</v>
      </c>
      <c r="T20" s="24">
        <f t="shared" si="3"/>
        <v>4649964</v>
      </c>
      <c r="U20" s="242"/>
    </row>
    <row r="21" spans="1:21" s="5" customFormat="1" x14ac:dyDescent="0.4">
      <c r="A21" s="12">
        <f t="shared" si="4"/>
        <v>49675</v>
      </c>
      <c r="B21" s="13">
        <f t="shared" si="5"/>
        <v>12</v>
      </c>
      <c r="C21" s="36">
        <f t="shared" si="19"/>
        <v>77700</v>
      </c>
      <c r="D21" s="14">
        <f t="shared" si="6"/>
        <v>1.2200000000000006</v>
      </c>
      <c r="E21" s="13">
        <f t="shared" si="7"/>
        <v>94794</v>
      </c>
      <c r="F21" s="13">
        <f t="shared" si="8"/>
        <v>172494</v>
      </c>
      <c r="G21" s="13">
        <f t="shared" si="15"/>
        <v>24149</v>
      </c>
      <c r="H21" s="13">
        <f t="shared" si="16"/>
        <v>17249</v>
      </c>
      <c r="I21" s="13">
        <f t="shared" si="17"/>
        <v>41398</v>
      </c>
      <c r="J21" s="13">
        <f t="shared" si="9"/>
        <v>289788</v>
      </c>
      <c r="K21" s="13">
        <f t="shared" si="9"/>
        <v>206988</v>
      </c>
      <c r="L21" s="13">
        <f t="shared" si="10"/>
        <v>496776</v>
      </c>
      <c r="M21" s="13">
        <f t="shared" si="11"/>
        <v>4382304</v>
      </c>
      <c r="N21" s="18">
        <f t="shared" si="18"/>
        <v>262938</v>
      </c>
      <c r="O21" s="18">
        <f t="shared" si="12"/>
        <v>4645242</v>
      </c>
      <c r="P21" s="22">
        <f t="shared" si="1"/>
        <v>49675</v>
      </c>
      <c r="Q21" s="23">
        <f t="shared" si="13"/>
        <v>61.5781622526031</v>
      </c>
      <c r="R21" s="23">
        <f t="shared" si="14"/>
        <v>8067.4054214568532</v>
      </c>
      <c r="S21" s="23">
        <f t="shared" si="20"/>
        <v>86601.126582938741</v>
      </c>
      <c r="T21" s="24">
        <f t="shared" si="3"/>
        <v>5332738</v>
      </c>
      <c r="U21" s="242"/>
    </row>
    <row r="22" spans="1:21" x14ac:dyDescent="0.4">
      <c r="A22" s="12">
        <f t="shared" si="4"/>
        <v>50041</v>
      </c>
      <c r="B22" s="13">
        <f t="shared" si="5"/>
        <v>13</v>
      </c>
      <c r="C22" s="36">
        <f t="shared" si="19"/>
        <v>80000</v>
      </c>
      <c r="D22" s="14">
        <f t="shared" si="6"/>
        <v>1.2800000000000007</v>
      </c>
      <c r="E22" s="13">
        <f t="shared" si="7"/>
        <v>102400</v>
      </c>
      <c r="F22" s="13">
        <f t="shared" si="8"/>
        <v>182400</v>
      </c>
      <c r="G22" s="13">
        <f t="shared" si="15"/>
        <v>25536</v>
      </c>
      <c r="H22" s="13">
        <f t="shared" si="16"/>
        <v>18240</v>
      </c>
      <c r="I22" s="13">
        <f t="shared" si="17"/>
        <v>43776</v>
      </c>
      <c r="J22" s="13">
        <f t="shared" si="9"/>
        <v>306432</v>
      </c>
      <c r="K22" s="13">
        <f t="shared" si="9"/>
        <v>218880</v>
      </c>
      <c r="L22" s="13">
        <f t="shared" si="10"/>
        <v>525312</v>
      </c>
      <c r="M22" s="13">
        <f t="shared" si="11"/>
        <v>4907616</v>
      </c>
      <c r="N22" s="18">
        <f t="shared" si="18"/>
        <v>294457</v>
      </c>
      <c r="O22" s="18">
        <f t="shared" si="12"/>
        <v>5202073</v>
      </c>
      <c r="P22" s="22">
        <f t="shared" si="1"/>
        <v>50041</v>
      </c>
      <c r="Q22" s="23">
        <f t="shared" si="13"/>
        <v>64.041288742707223</v>
      </c>
      <c r="R22" s="23">
        <f t="shared" si="14"/>
        <v>8202.7081327250853</v>
      </c>
      <c r="S22" s="23">
        <f t="shared" si="20"/>
        <v>94803.834715663834</v>
      </c>
      <c r="T22" s="24">
        <f t="shared" si="3"/>
        <v>6071360</v>
      </c>
      <c r="U22" s="242"/>
    </row>
    <row r="23" spans="1:21" s="5" customFormat="1" x14ac:dyDescent="0.4">
      <c r="A23" s="12">
        <f t="shared" si="4"/>
        <v>50406</v>
      </c>
      <c r="B23" s="13">
        <f t="shared" si="5"/>
        <v>14</v>
      </c>
      <c r="C23" s="36">
        <f t="shared" si="19"/>
        <v>82400</v>
      </c>
      <c r="D23" s="14">
        <f t="shared" si="6"/>
        <v>1.3400000000000007</v>
      </c>
      <c r="E23" s="13">
        <f t="shared" si="7"/>
        <v>110416</v>
      </c>
      <c r="F23" s="13">
        <f t="shared" si="8"/>
        <v>192816</v>
      </c>
      <c r="G23" s="13">
        <f t="shared" si="15"/>
        <v>26994</v>
      </c>
      <c r="H23" s="13">
        <f t="shared" si="16"/>
        <v>19282</v>
      </c>
      <c r="I23" s="13">
        <f t="shared" si="17"/>
        <v>46276</v>
      </c>
      <c r="J23" s="13">
        <f t="shared" si="9"/>
        <v>323928</v>
      </c>
      <c r="K23" s="13">
        <f t="shared" si="9"/>
        <v>231384</v>
      </c>
      <c r="L23" s="13">
        <f t="shared" si="10"/>
        <v>555312</v>
      </c>
      <c r="M23" s="13">
        <f t="shared" si="11"/>
        <v>5462928</v>
      </c>
      <c r="N23" s="18">
        <f t="shared" si="18"/>
        <v>327776</v>
      </c>
      <c r="O23" s="18">
        <f t="shared" si="12"/>
        <v>5790704</v>
      </c>
      <c r="P23" s="22">
        <f t="shared" si="1"/>
        <v>50406</v>
      </c>
      <c r="Q23" s="23">
        <f t="shared" si="13"/>
        <v>66.602940292415511</v>
      </c>
      <c r="R23" s="23">
        <f t="shared" si="14"/>
        <v>8337.6499229905148</v>
      </c>
      <c r="S23" s="23">
        <f t="shared" si="20"/>
        <v>103141.48463865435</v>
      </c>
      <c r="T23" s="24">
        <f t="shared" si="3"/>
        <v>6869526</v>
      </c>
      <c r="U23" s="242"/>
    </row>
    <row r="24" spans="1:21" x14ac:dyDescent="0.4">
      <c r="A24" s="12">
        <f t="shared" si="4"/>
        <v>50771</v>
      </c>
      <c r="B24" s="13">
        <f t="shared" si="5"/>
        <v>15</v>
      </c>
      <c r="C24" s="36">
        <f t="shared" si="19"/>
        <v>84900</v>
      </c>
      <c r="D24" s="14">
        <f t="shared" si="6"/>
        <v>1.4000000000000008</v>
      </c>
      <c r="E24" s="13">
        <f t="shared" si="7"/>
        <v>118860</v>
      </c>
      <c r="F24" s="13">
        <f t="shared" si="8"/>
        <v>203760</v>
      </c>
      <c r="G24" s="13">
        <f t="shared" si="15"/>
        <v>28526</v>
      </c>
      <c r="H24" s="13">
        <f t="shared" si="16"/>
        <v>20376</v>
      </c>
      <c r="I24" s="13">
        <f t="shared" si="17"/>
        <v>48902</v>
      </c>
      <c r="J24" s="13">
        <f t="shared" si="9"/>
        <v>342312</v>
      </c>
      <c r="K24" s="13">
        <f t="shared" si="9"/>
        <v>244512</v>
      </c>
      <c r="L24" s="13">
        <f t="shared" si="10"/>
        <v>586824</v>
      </c>
      <c r="M24" s="13">
        <f t="shared" si="11"/>
        <v>6049752</v>
      </c>
      <c r="N24" s="18">
        <f t="shared" si="18"/>
        <v>362985</v>
      </c>
      <c r="O24" s="18">
        <f t="shared" si="12"/>
        <v>6412737</v>
      </c>
      <c r="P24" s="22">
        <f t="shared" si="1"/>
        <v>50771</v>
      </c>
      <c r="Q24" s="23">
        <f t="shared" si="13"/>
        <v>69.267057904112136</v>
      </c>
      <c r="R24" s="23">
        <f t="shared" si="14"/>
        <v>8471.9059500455896</v>
      </c>
      <c r="S24" s="23">
        <f t="shared" si="20"/>
        <v>111613.39058869994</v>
      </c>
      <c r="T24" s="24">
        <f t="shared" si="3"/>
        <v>7731131</v>
      </c>
      <c r="U24" s="242"/>
    </row>
    <row r="25" spans="1:21" s="5" customFormat="1" x14ac:dyDescent="0.4">
      <c r="A25" s="12">
        <f t="shared" si="4"/>
        <v>51136</v>
      </c>
      <c r="B25" s="13">
        <f t="shared" si="5"/>
        <v>16</v>
      </c>
      <c r="C25" s="36">
        <f>+IF($H$6&lt;A24,"",IF(CEILING(C24*3%,100)-ROUND(C24*3%,0)&lt;=50,CEILING(C24*3%,100),CEILING(C24*3%,100)-100)+C24)</f>
        <v>87400</v>
      </c>
      <c r="D25" s="14">
        <f t="shared" si="6"/>
        <v>1.4600000000000009</v>
      </c>
      <c r="E25" s="13">
        <f t="shared" si="7"/>
        <v>127604</v>
      </c>
      <c r="F25" s="13">
        <f t="shared" si="8"/>
        <v>215004</v>
      </c>
      <c r="G25" s="13">
        <f t="shared" si="15"/>
        <v>30101</v>
      </c>
      <c r="H25" s="13">
        <f t="shared" si="16"/>
        <v>21500</v>
      </c>
      <c r="I25" s="13">
        <f t="shared" si="17"/>
        <v>51601</v>
      </c>
      <c r="J25" s="13">
        <f t="shared" si="9"/>
        <v>361212</v>
      </c>
      <c r="K25" s="13">
        <f t="shared" si="9"/>
        <v>258000</v>
      </c>
      <c r="L25" s="13">
        <f t="shared" si="10"/>
        <v>619212</v>
      </c>
      <c r="M25" s="13">
        <f t="shared" si="11"/>
        <v>6668964</v>
      </c>
      <c r="N25" s="18">
        <f t="shared" si="18"/>
        <v>400138</v>
      </c>
      <c r="O25" s="18">
        <f t="shared" si="12"/>
        <v>7069102</v>
      </c>
      <c r="P25" s="22">
        <f t="shared" si="1"/>
        <v>51136</v>
      </c>
      <c r="Q25" s="23">
        <f t="shared" si="13"/>
        <v>72.037740220276618</v>
      </c>
      <c r="R25" s="23">
        <f t="shared" si="14"/>
        <v>8595.6610813523148</v>
      </c>
      <c r="S25" s="23">
        <f t="shared" si="20"/>
        <v>120209.05167005226</v>
      </c>
      <c r="T25" s="24">
        <f t="shared" si="3"/>
        <v>8659588</v>
      </c>
      <c r="U25" s="242"/>
    </row>
    <row r="26" spans="1:21" x14ac:dyDescent="0.4">
      <c r="A26" s="12">
        <f t="shared" si="4"/>
        <v>51502</v>
      </c>
      <c r="B26" s="13">
        <f t="shared" si="5"/>
        <v>17</v>
      </c>
      <c r="C26" s="36">
        <f t="shared" ref="C26:C45" si="21">+IF($H$6&lt;A25,"",IF(CEILING(C25*3%,100)-ROUND(C25*3%,0)&lt;=50,CEILING(C25*3%,100),CEILING(C25*3%,100)-100)+C25)</f>
        <v>90000</v>
      </c>
      <c r="D26" s="14">
        <f t="shared" si="6"/>
        <v>1.5200000000000009</v>
      </c>
      <c r="E26" s="13">
        <f t="shared" si="7"/>
        <v>136800</v>
      </c>
      <c r="F26" s="13">
        <f t="shared" si="8"/>
        <v>226800</v>
      </c>
      <c r="G26" s="13">
        <f t="shared" si="15"/>
        <v>31752</v>
      </c>
      <c r="H26" s="13">
        <f t="shared" si="16"/>
        <v>22680</v>
      </c>
      <c r="I26" s="13">
        <f t="shared" si="17"/>
        <v>54432</v>
      </c>
      <c r="J26" s="13">
        <f t="shared" si="9"/>
        <v>381024</v>
      </c>
      <c r="K26" s="13">
        <f t="shared" si="9"/>
        <v>272160</v>
      </c>
      <c r="L26" s="13">
        <f t="shared" si="10"/>
        <v>653184</v>
      </c>
      <c r="M26" s="13">
        <f t="shared" si="11"/>
        <v>7322148</v>
      </c>
      <c r="N26" s="18">
        <f t="shared" si="18"/>
        <v>439329</v>
      </c>
      <c r="O26" s="18">
        <f t="shared" si="12"/>
        <v>7761477</v>
      </c>
      <c r="P26" s="22">
        <f t="shared" si="1"/>
        <v>51502</v>
      </c>
      <c r="Q26" s="23">
        <f t="shared" si="13"/>
        <v>74.919249829087676</v>
      </c>
      <c r="R26" s="23">
        <f t="shared" si="14"/>
        <v>8718.506945679519</v>
      </c>
      <c r="S26" s="23">
        <f t="shared" si="20"/>
        <v>128927.55861573177</v>
      </c>
      <c r="T26" s="24">
        <f t="shared" si="3"/>
        <v>9659156</v>
      </c>
      <c r="U26" s="242"/>
    </row>
    <row r="27" spans="1:21" s="5" customFormat="1" x14ac:dyDescent="0.4">
      <c r="A27" s="12">
        <f t="shared" si="4"/>
        <v>51867</v>
      </c>
      <c r="B27" s="13">
        <f t="shared" si="5"/>
        <v>18</v>
      </c>
      <c r="C27" s="36">
        <f t="shared" si="21"/>
        <v>92700</v>
      </c>
      <c r="D27" s="14">
        <f t="shared" si="6"/>
        <v>1.580000000000001</v>
      </c>
      <c r="E27" s="13">
        <f t="shared" si="7"/>
        <v>146466</v>
      </c>
      <c r="F27" s="13">
        <f t="shared" si="8"/>
        <v>239166</v>
      </c>
      <c r="G27" s="13">
        <f t="shared" si="15"/>
        <v>33483</v>
      </c>
      <c r="H27" s="13">
        <f t="shared" si="16"/>
        <v>23917</v>
      </c>
      <c r="I27" s="13">
        <f t="shared" si="17"/>
        <v>57400</v>
      </c>
      <c r="J27" s="13">
        <f t="shared" si="9"/>
        <v>401796</v>
      </c>
      <c r="K27" s="13">
        <f t="shared" si="9"/>
        <v>287004</v>
      </c>
      <c r="L27" s="13">
        <f t="shared" si="10"/>
        <v>688800</v>
      </c>
      <c r="M27" s="13">
        <f t="shared" si="11"/>
        <v>8010948</v>
      </c>
      <c r="N27" s="18">
        <f t="shared" si="18"/>
        <v>480657</v>
      </c>
      <c r="O27" s="18">
        <f t="shared" si="12"/>
        <v>8491605</v>
      </c>
      <c r="P27" s="22">
        <f t="shared" si="1"/>
        <v>51867</v>
      </c>
      <c r="Q27" s="23">
        <f t="shared" si="13"/>
        <v>77.916019822251187</v>
      </c>
      <c r="R27" s="23">
        <f t="shared" si="14"/>
        <v>8840.2872935674914</v>
      </c>
      <c r="S27" s="23">
        <f t="shared" si="20"/>
        <v>137767.84590929927</v>
      </c>
      <c r="T27" s="24">
        <f t="shared" si="3"/>
        <v>10734322</v>
      </c>
      <c r="U27" s="242"/>
    </row>
    <row r="28" spans="1:21" x14ac:dyDescent="0.4">
      <c r="A28" s="12">
        <f t="shared" si="4"/>
        <v>52232</v>
      </c>
      <c r="B28" s="13">
        <f t="shared" si="5"/>
        <v>19</v>
      </c>
      <c r="C28" s="36">
        <f t="shared" si="21"/>
        <v>95500</v>
      </c>
      <c r="D28" s="14">
        <f t="shared" si="6"/>
        <v>1.640000000000001</v>
      </c>
      <c r="E28" s="13">
        <f t="shared" si="7"/>
        <v>156620</v>
      </c>
      <c r="F28" s="13">
        <f t="shared" si="8"/>
        <v>252120</v>
      </c>
      <c r="G28" s="13">
        <f t="shared" si="15"/>
        <v>35297</v>
      </c>
      <c r="H28" s="13">
        <f t="shared" si="16"/>
        <v>25212</v>
      </c>
      <c r="I28" s="13">
        <f t="shared" si="17"/>
        <v>60509</v>
      </c>
      <c r="J28" s="13">
        <f t="shared" ref="J28:K45" si="22">+G28*12</f>
        <v>423564</v>
      </c>
      <c r="K28" s="13">
        <f t="shared" si="22"/>
        <v>302544</v>
      </c>
      <c r="L28" s="13">
        <f t="shared" si="10"/>
        <v>726108</v>
      </c>
      <c r="M28" s="13">
        <f t="shared" si="11"/>
        <v>8737056</v>
      </c>
      <c r="N28" s="18">
        <f t="shared" si="18"/>
        <v>524223</v>
      </c>
      <c r="O28" s="18">
        <f t="shared" si="12"/>
        <v>9261279</v>
      </c>
      <c r="P28" s="22">
        <f t="shared" si="1"/>
        <v>52232</v>
      </c>
      <c r="Q28" s="23">
        <f t="shared" si="13"/>
        <v>81.032660615141239</v>
      </c>
      <c r="R28" s="23">
        <f t="shared" si="14"/>
        <v>8960.6831922821511</v>
      </c>
      <c r="S28" s="23">
        <f t="shared" si="20"/>
        <v>146728.52910158143</v>
      </c>
      <c r="T28" s="24">
        <f t="shared" si="3"/>
        <v>11889803</v>
      </c>
      <c r="U28" s="242"/>
    </row>
    <row r="29" spans="1:21" s="5" customFormat="1" x14ac:dyDescent="0.4">
      <c r="A29" s="12">
        <f t="shared" si="4"/>
        <v>52597</v>
      </c>
      <c r="B29" s="13">
        <f t="shared" si="5"/>
        <v>20</v>
      </c>
      <c r="C29" s="36">
        <f t="shared" si="21"/>
        <v>98400</v>
      </c>
      <c r="D29" s="14">
        <f t="shared" si="6"/>
        <v>1.7000000000000011</v>
      </c>
      <c r="E29" s="13">
        <f t="shared" si="7"/>
        <v>167280</v>
      </c>
      <c r="F29" s="13">
        <f t="shared" si="8"/>
        <v>265680</v>
      </c>
      <c r="G29" s="13">
        <f t="shared" si="15"/>
        <v>37195</v>
      </c>
      <c r="H29" s="13">
        <f t="shared" si="16"/>
        <v>26568</v>
      </c>
      <c r="I29" s="13">
        <f t="shared" si="17"/>
        <v>63763</v>
      </c>
      <c r="J29" s="13">
        <f t="shared" si="22"/>
        <v>446340</v>
      </c>
      <c r="K29" s="13">
        <f t="shared" si="22"/>
        <v>318816</v>
      </c>
      <c r="L29" s="13">
        <f t="shared" si="10"/>
        <v>765156</v>
      </c>
      <c r="M29" s="13">
        <f t="shared" si="11"/>
        <v>9502212</v>
      </c>
      <c r="N29" s="18">
        <f t="shared" si="18"/>
        <v>570133</v>
      </c>
      <c r="O29" s="18">
        <f t="shared" si="12"/>
        <v>10072345</v>
      </c>
      <c r="P29" s="22">
        <f t="shared" si="1"/>
        <v>52597</v>
      </c>
      <c r="Q29" s="23">
        <f t="shared" si="13"/>
        <v>84.273967039746893</v>
      </c>
      <c r="R29" s="23">
        <f t="shared" si="14"/>
        <v>9079.3874653974999</v>
      </c>
      <c r="S29" s="23">
        <f t="shared" si="20"/>
        <v>155807.91656697894</v>
      </c>
      <c r="T29" s="24">
        <f t="shared" si="3"/>
        <v>13130551</v>
      </c>
      <c r="U29" s="242"/>
    </row>
    <row r="30" spans="1:21" x14ac:dyDescent="0.4">
      <c r="A30" s="12">
        <f t="shared" si="4"/>
        <v>52963</v>
      </c>
      <c r="B30" s="13">
        <f t="shared" si="5"/>
        <v>21</v>
      </c>
      <c r="C30" s="36">
        <f t="shared" si="21"/>
        <v>101400</v>
      </c>
      <c r="D30" s="14">
        <f t="shared" si="6"/>
        <v>1.7600000000000011</v>
      </c>
      <c r="E30" s="13">
        <f t="shared" si="7"/>
        <v>178464</v>
      </c>
      <c r="F30" s="13">
        <f t="shared" si="8"/>
        <v>279864</v>
      </c>
      <c r="G30" s="13">
        <f t="shared" si="15"/>
        <v>39181</v>
      </c>
      <c r="H30" s="13">
        <f t="shared" si="16"/>
        <v>27986</v>
      </c>
      <c r="I30" s="13">
        <f t="shared" si="17"/>
        <v>67167</v>
      </c>
      <c r="J30" s="13">
        <f t="shared" si="22"/>
        <v>470172</v>
      </c>
      <c r="K30" s="13">
        <f t="shared" si="22"/>
        <v>335832</v>
      </c>
      <c r="L30" s="13">
        <f t="shared" si="10"/>
        <v>806004</v>
      </c>
      <c r="M30" s="13">
        <f t="shared" si="11"/>
        <v>10308216</v>
      </c>
      <c r="N30" s="18">
        <f t="shared" si="18"/>
        <v>618493</v>
      </c>
      <c r="O30" s="18">
        <f t="shared" si="12"/>
        <v>10926709</v>
      </c>
      <c r="P30" s="22">
        <f t="shared" si="1"/>
        <v>52963</v>
      </c>
      <c r="Q30" s="23">
        <f t="shared" si="13"/>
        <v>87.644925721336762</v>
      </c>
      <c r="R30" s="23">
        <f t="shared" si="14"/>
        <v>9196.2426046506644</v>
      </c>
      <c r="S30" s="23">
        <f t="shared" si="20"/>
        <v>165004.15917162961</v>
      </c>
      <c r="T30" s="24">
        <f t="shared" si="3"/>
        <v>14461777</v>
      </c>
      <c r="U30" s="242"/>
    </row>
    <row r="31" spans="1:21" s="5" customFormat="1" x14ac:dyDescent="0.4">
      <c r="A31" s="12">
        <f t="shared" si="4"/>
        <v>53328</v>
      </c>
      <c r="B31" s="13">
        <f t="shared" si="5"/>
        <v>22</v>
      </c>
      <c r="C31" s="36">
        <f t="shared" si="21"/>
        <v>104400</v>
      </c>
      <c r="D31" s="14">
        <f t="shared" si="6"/>
        <v>1.8200000000000012</v>
      </c>
      <c r="E31" s="13">
        <f t="shared" si="7"/>
        <v>190008</v>
      </c>
      <c r="F31" s="13">
        <f t="shared" si="8"/>
        <v>294408</v>
      </c>
      <c r="G31" s="13">
        <f t="shared" si="15"/>
        <v>41217</v>
      </c>
      <c r="H31" s="13">
        <f t="shared" si="16"/>
        <v>29441</v>
      </c>
      <c r="I31" s="13">
        <f t="shared" si="17"/>
        <v>70658</v>
      </c>
      <c r="J31" s="13">
        <f t="shared" si="22"/>
        <v>494604</v>
      </c>
      <c r="K31" s="13">
        <f t="shared" si="22"/>
        <v>353292</v>
      </c>
      <c r="L31" s="13">
        <f t="shared" si="10"/>
        <v>847896</v>
      </c>
      <c r="M31" s="13">
        <f t="shared" si="11"/>
        <v>11156112</v>
      </c>
      <c r="N31" s="18">
        <f t="shared" si="18"/>
        <v>669367</v>
      </c>
      <c r="O31" s="18">
        <f t="shared" si="12"/>
        <v>11825479</v>
      </c>
      <c r="P31" s="22">
        <f t="shared" si="1"/>
        <v>53328</v>
      </c>
      <c r="Q31" s="23">
        <f t="shared" si="13"/>
        <v>91.150722750190226</v>
      </c>
      <c r="R31" s="23">
        <f t="shared" si="14"/>
        <v>9302.1313975069988</v>
      </c>
      <c r="S31" s="23">
        <f t="shared" si="20"/>
        <v>174306.29056913662</v>
      </c>
      <c r="T31" s="24">
        <f t="shared" si="3"/>
        <v>15888144</v>
      </c>
      <c r="U31" s="242"/>
    </row>
    <row r="32" spans="1:21" x14ac:dyDescent="0.4">
      <c r="A32" s="12">
        <f t="shared" si="4"/>
        <v>53693</v>
      </c>
      <c r="B32" s="13">
        <f t="shared" si="5"/>
        <v>23</v>
      </c>
      <c r="C32" s="36">
        <f t="shared" si="21"/>
        <v>107500</v>
      </c>
      <c r="D32" s="14">
        <f t="shared" si="6"/>
        <v>1.8800000000000012</v>
      </c>
      <c r="E32" s="13">
        <f t="shared" si="7"/>
        <v>202100</v>
      </c>
      <c r="F32" s="13">
        <f t="shared" si="8"/>
        <v>309600</v>
      </c>
      <c r="G32" s="13">
        <f t="shared" si="15"/>
        <v>43344</v>
      </c>
      <c r="H32" s="13">
        <f t="shared" si="16"/>
        <v>30960</v>
      </c>
      <c r="I32" s="13">
        <f t="shared" si="17"/>
        <v>74304</v>
      </c>
      <c r="J32" s="13">
        <f t="shared" si="22"/>
        <v>520128</v>
      </c>
      <c r="K32" s="13">
        <f t="shared" si="22"/>
        <v>371520</v>
      </c>
      <c r="L32" s="13">
        <f t="shared" si="10"/>
        <v>891648</v>
      </c>
      <c r="M32" s="13">
        <f t="shared" si="11"/>
        <v>12047760</v>
      </c>
      <c r="N32" s="18">
        <f t="shared" si="18"/>
        <v>722866</v>
      </c>
      <c r="O32" s="18">
        <f t="shared" si="12"/>
        <v>12770626</v>
      </c>
      <c r="P32" s="22">
        <f t="shared" si="1"/>
        <v>53693</v>
      </c>
      <c r="Q32" s="23">
        <f t="shared" si="13"/>
        <v>94.796751660197842</v>
      </c>
      <c r="R32" s="23">
        <f t="shared" si="14"/>
        <v>9405.8919149059275</v>
      </c>
      <c r="S32" s="23">
        <f t="shared" si="20"/>
        <v>183712.18248404254</v>
      </c>
      <c r="T32" s="24">
        <f t="shared" si="3"/>
        <v>17415318</v>
      </c>
      <c r="U32" s="242"/>
    </row>
    <row r="33" spans="1:22" x14ac:dyDescent="0.4">
      <c r="A33" s="12">
        <f t="shared" si="4"/>
        <v>54058</v>
      </c>
      <c r="B33" s="13">
        <f t="shared" ref="B33" si="23">IF(OR(A33=0,A33=""),0,(B32+1))</f>
        <v>24</v>
      </c>
      <c r="C33" s="36">
        <f t="shared" ref="C33" si="24">+IF($H$6&lt;A32,"",IF(CEILING(C32*3%,100)-ROUND(C32*3%,0)&lt;=50,CEILING(C32*3%,100),CEILING(C32*3%,100)-100)+C32)</f>
        <v>110700</v>
      </c>
      <c r="D33" s="14">
        <f t="shared" ref="D33" si="25">IF(OR(A33=0, A33=""), 0, (D32+6%))</f>
        <v>1.9400000000000013</v>
      </c>
      <c r="E33" s="13">
        <f t="shared" ref="E33" si="26">IF(OR(A33=0,A33=""),0,ROUND(C33*D33,0))</f>
        <v>214758</v>
      </c>
      <c r="F33" s="13">
        <f t="shared" ref="F33" si="27">IF(OR(A33=0,A33=""),0,(C33+E33))</f>
        <v>325458</v>
      </c>
      <c r="G33" s="13">
        <f t="shared" ref="G33" si="28">ROUND(F33*$G$3,0)</f>
        <v>45564</v>
      </c>
      <c r="H33" s="13">
        <f t="shared" ref="H33" si="29">ROUND(F33*$H$3,0)</f>
        <v>32546</v>
      </c>
      <c r="I33" s="13">
        <f t="shared" ref="I33" si="30">+G33+H33</f>
        <v>78110</v>
      </c>
      <c r="J33" s="13">
        <f t="shared" ref="J33" si="31">+G33*12</f>
        <v>546768</v>
      </c>
      <c r="K33" s="13">
        <f t="shared" ref="K33" si="32">+H33*12</f>
        <v>390552</v>
      </c>
      <c r="L33" s="13">
        <f t="shared" ref="L33" si="33">+J33+K33</f>
        <v>937320</v>
      </c>
      <c r="M33" s="13">
        <f t="shared" ref="M33" si="34">IF(OR(A33=0,A33=""),0,(L33+M32))</f>
        <v>12985080</v>
      </c>
      <c r="N33" s="18">
        <f t="shared" ref="N33" si="35">ROUND(M33*$N$3,0)</f>
        <v>779105</v>
      </c>
      <c r="O33" s="18">
        <f t="shared" ref="O33" si="36">+M33+N33</f>
        <v>13764185</v>
      </c>
      <c r="P33" s="22">
        <f t="shared" ref="P33" si="37">+A33</f>
        <v>54058</v>
      </c>
      <c r="Q33" s="23">
        <f t="shared" ref="Q33" si="38">IF(OR(A33=0,A33=""),0,(Q32*$Q$3+Q32))</f>
        <v>98.588621726605751</v>
      </c>
      <c r="R33" s="23">
        <f t="shared" ref="R33" si="39">IF(OR(A33=0,A33=""),0,(L33/Q33))</f>
        <v>9507.385168638064</v>
      </c>
      <c r="S33" s="23">
        <f t="shared" ref="S33" si="40">IF(OR(A33=0,A33=""),0,(S32+R33))</f>
        <v>193219.56765268059</v>
      </c>
      <c r="T33" s="24">
        <f t="shared" ref="T33" si="41">ROUND(Q33*S33,0)</f>
        <v>19049251</v>
      </c>
      <c r="U33" s="242"/>
    </row>
    <row r="34" spans="1:22" x14ac:dyDescent="0.4">
      <c r="A34" s="12">
        <f t="shared" si="4"/>
        <v>54424</v>
      </c>
      <c r="B34" s="13">
        <f t="shared" si="5"/>
        <v>25</v>
      </c>
      <c r="C34" s="36">
        <f t="shared" si="21"/>
        <v>114000</v>
      </c>
      <c r="D34" s="14">
        <f t="shared" si="6"/>
        <v>2.0000000000000013</v>
      </c>
      <c r="E34" s="13">
        <f t="shared" si="7"/>
        <v>228000</v>
      </c>
      <c r="F34" s="13">
        <f t="shared" si="8"/>
        <v>342000</v>
      </c>
      <c r="G34" s="13">
        <f t="shared" si="15"/>
        <v>47880</v>
      </c>
      <c r="H34" s="13">
        <f t="shared" si="16"/>
        <v>34200</v>
      </c>
      <c r="I34" s="13">
        <f t="shared" si="17"/>
        <v>82080</v>
      </c>
      <c r="J34" s="13">
        <f t="shared" si="22"/>
        <v>574560</v>
      </c>
      <c r="K34" s="13">
        <f t="shared" si="22"/>
        <v>410400</v>
      </c>
      <c r="L34" s="13">
        <f>+J34+K34</f>
        <v>984960</v>
      </c>
      <c r="M34" s="13">
        <f t="shared" si="11"/>
        <v>13970040</v>
      </c>
      <c r="N34" s="18">
        <f t="shared" si="18"/>
        <v>838202</v>
      </c>
      <c r="O34" s="18">
        <f t="shared" si="12"/>
        <v>14808242</v>
      </c>
      <c r="P34" s="22">
        <f t="shared" si="1"/>
        <v>54424</v>
      </c>
      <c r="Q34" s="23">
        <f t="shared" si="13"/>
        <v>102.53216659566998</v>
      </c>
      <c r="R34" s="23">
        <f>IF(OR(A34=0,A34=""),0,(L34/Q34))</f>
        <v>9606.3511842496828</v>
      </c>
      <c r="S34" s="23">
        <f>IF(OR(A34=0,A34=""),0,(S33+R34))</f>
        <v>202825.91883693027</v>
      </c>
      <c r="T34" s="24">
        <f t="shared" si="3"/>
        <v>20796181</v>
      </c>
      <c r="U34" s="242"/>
    </row>
    <row r="35" spans="1:22" x14ac:dyDescent="0.4">
      <c r="A35" s="12">
        <f t="shared" si="4"/>
        <v>54789</v>
      </c>
      <c r="B35" s="13">
        <f t="shared" si="5"/>
        <v>26</v>
      </c>
      <c r="C35" s="36">
        <f t="shared" si="21"/>
        <v>117400</v>
      </c>
      <c r="D35" s="14">
        <f t="shared" si="6"/>
        <v>2.0600000000000014</v>
      </c>
      <c r="E35" s="13">
        <f t="shared" si="7"/>
        <v>241844</v>
      </c>
      <c r="F35" s="13">
        <f t="shared" si="8"/>
        <v>359244</v>
      </c>
      <c r="G35" s="13">
        <f t="shared" si="15"/>
        <v>50294</v>
      </c>
      <c r="H35" s="13">
        <f t="shared" si="16"/>
        <v>35924</v>
      </c>
      <c r="I35" s="13">
        <f t="shared" si="17"/>
        <v>86218</v>
      </c>
      <c r="J35" s="13">
        <f t="shared" si="22"/>
        <v>603528</v>
      </c>
      <c r="K35" s="13">
        <f t="shared" si="22"/>
        <v>431088</v>
      </c>
      <c r="L35" s="13">
        <f t="shared" si="10"/>
        <v>1034616</v>
      </c>
      <c r="M35" s="13">
        <f t="shared" si="11"/>
        <v>15004656</v>
      </c>
      <c r="N35" s="18">
        <f t="shared" si="18"/>
        <v>900279</v>
      </c>
      <c r="O35" s="18">
        <f t="shared" si="12"/>
        <v>15904935</v>
      </c>
      <c r="P35" s="22">
        <f t="shared" si="1"/>
        <v>54789</v>
      </c>
      <c r="Q35" s="23">
        <f t="shared" si="13"/>
        <v>106.63345325949678</v>
      </c>
      <c r="R35" s="23">
        <f t="shared" si="14"/>
        <v>9702.5461370196881</v>
      </c>
      <c r="S35" s="23">
        <f t="shared" si="20"/>
        <v>212528.46497394997</v>
      </c>
      <c r="T35" s="24">
        <f t="shared" si="3"/>
        <v>22662644</v>
      </c>
      <c r="U35" s="242"/>
    </row>
    <row r="36" spans="1:22" x14ac:dyDescent="0.4">
      <c r="A36" s="12">
        <f t="shared" si="4"/>
        <v>55154</v>
      </c>
      <c r="B36" s="13">
        <f t="shared" si="5"/>
        <v>27</v>
      </c>
      <c r="C36" s="36">
        <f t="shared" si="21"/>
        <v>120900</v>
      </c>
      <c r="D36" s="14">
        <f t="shared" si="6"/>
        <v>2.1200000000000014</v>
      </c>
      <c r="E36" s="13">
        <f t="shared" si="7"/>
        <v>256308</v>
      </c>
      <c r="F36" s="13">
        <f t="shared" si="8"/>
        <v>377208</v>
      </c>
      <c r="G36" s="13">
        <f t="shared" si="15"/>
        <v>52809</v>
      </c>
      <c r="H36" s="13">
        <f t="shared" si="16"/>
        <v>37721</v>
      </c>
      <c r="I36" s="13">
        <f t="shared" si="17"/>
        <v>90530</v>
      </c>
      <c r="J36" s="13">
        <f t="shared" si="22"/>
        <v>633708</v>
      </c>
      <c r="K36" s="13">
        <f t="shared" si="22"/>
        <v>452652</v>
      </c>
      <c r="L36" s="13">
        <f t="shared" si="10"/>
        <v>1086360</v>
      </c>
      <c r="M36" s="13">
        <f t="shared" si="11"/>
        <v>16091016</v>
      </c>
      <c r="N36" s="18">
        <f t="shared" si="18"/>
        <v>965461</v>
      </c>
      <c r="O36" s="18">
        <f t="shared" si="12"/>
        <v>17056477</v>
      </c>
      <c r="P36" s="22">
        <f t="shared" si="1"/>
        <v>55154</v>
      </c>
      <c r="Q36" s="23">
        <f t="shared" si="13"/>
        <v>110.89879138987665</v>
      </c>
      <c r="R36" s="23">
        <f t="shared" si="14"/>
        <v>9795.9588773225169</v>
      </c>
      <c r="S36" s="23">
        <f t="shared" si="20"/>
        <v>222324.4238512725</v>
      </c>
      <c r="T36" s="24">
        <f t="shared" si="3"/>
        <v>24655510</v>
      </c>
      <c r="U36" s="242"/>
    </row>
    <row r="37" spans="1:22" x14ac:dyDescent="0.4">
      <c r="A37" s="12">
        <f t="shared" si="4"/>
        <v>55519</v>
      </c>
      <c r="B37" s="13">
        <f t="shared" si="5"/>
        <v>28</v>
      </c>
      <c r="C37" s="36">
        <f t="shared" si="21"/>
        <v>124500</v>
      </c>
      <c r="D37" s="14">
        <f t="shared" si="6"/>
        <v>2.1800000000000015</v>
      </c>
      <c r="E37" s="13">
        <f t="shared" si="7"/>
        <v>271410</v>
      </c>
      <c r="F37" s="13">
        <f t="shared" si="8"/>
        <v>395910</v>
      </c>
      <c r="G37" s="13">
        <f t="shared" si="15"/>
        <v>55427</v>
      </c>
      <c r="H37" s="13">
        <f t="shared" si="16"/>
        <v>39591</v>
      </c>
      <c r="I37" s="13">
        <f t="shared" si="17"/>
        <v>95018</v>
      </c>
      <c r="J37" s="13">
        <f t="shared" si="22"/>
        <v>665124</v>
      </c>
      <c r="K37" s="13">
        <f t="shared" si="22"/>
        <v>475092</v>
      </c>
      <c r="L37" s="13">
        <f t="shared" si="10"/>
        <v>1140216</v>
      </c>
      <c r="M37" s="13">
        <f t="shared" si="11"/>
        <v>17231232</v>
      </c>
      <c r="N37" s="18">
        <f t="shared" si="18"/>
        <v>1033874</v>
      </c>
      <c r="O37" s="18">
        <f t="shared" si="12"/>
        <v>18265106</v>
      </c>
      <c r="P37" s="22">
        <f t="shared" si="1"/>
        <v>55519</v>
      </c>
      <c r="Q37" s="23">
        <f t="shared" si="13"/>
        <v>115.33474304547171</v>
      </c>
      <c r="R37" s="23">
        <f t="shared" si="14"/>
        <v>9886.1450582194484</v>
      </c>
      <c r="S37" s="23">
        <f t="shared" si="20"/>
        <v>232210.56890949194</v>
      </c>
      <c r="T37" s="24">
        <f t="shared" si="3"/>
        <v>26781946</v>
      </c>
      <c r="U37" s="242"/>
    </row>
    <row r="38" spans="1:22" x14ac:dyDescent="0.4">
      <c r="A38" s="12">
        <f t="shared" si="4"/>
        <v>55885</v>
      </c>
      <c r="B38" s="13">
        <f t="shared" si="5"/>
        <v>29</v>
      </c>
      <c r="C38" s="36">
        <f t="shared" si="21"/>
        <v>128200</v>
      </c>
      <c r="D38" s="14">
        <f t="shared" si="6"/>
        <v>2.2400000000000015</v>
      </c>
      <c r="E38" s="13">
        <f t="shared" si="7"/>
        <v>287168</v>
      </c>
      <c r="F38" s="13">
        <f t="shared" si="8"/>
        <v>415368</v>
      </c>
      <c r="G38" s="13">
        <f t="shared" si="15"/>
        <v>58152</v>
      </c>
      <c r="H38" s="13">
        <f t="shared" si="16"/>
        <v>41537</v>
      </c>
      <c r="I38" s="13">
        <f t="shared" si="17"/>
        <v>99689</v>
      </c>
      <c r="J38" s="13">
        <f t="shared" si="22"/>
        <v>697824</v>
      </c>
      <c r="K38" s="13">
        <f t="shared" si="22"/>
        <v>498444</v>
      </c>
      <c r="L38" s="13">
        <f t="shared" si="10"/>
        <v>1196268</v>
      </c>
      <c r="M38" s="13">
        <f t="shared" si="11"/>
        <v>18427500</v>
      </c>
      <c r="N38" s="18">
        <f t="shared" si="18"/>
        <v>1105650</v>
      </c>
      <c r="O38" s="18">
        <f t="shared" si="12"/>
        <v>19533150</v>
      </c>
      <c r="P38" s="22">
        <f t="shared" si="1"/>
        <v>55885</v>
      </c>
      <c r="Q38" s="23">
        <f t="shared" si="13"/>
        <v>119.94813276729057</v>
      </c>
      <c r="R38" s="23">
        <f t="shared" si="14"/>
        <v>9973.2106903311287</v>
      </c>
      <c r="S38" s="23">
        <f t="shared" si="20"/>
        <v>242183.77959982306</v>
      </c>
      <c r="T38" s="24">
        <f t="shared" si="3"/>
        <v>29049492</v>
      </c>
      <c r="U38" s="242"/>
    </row>
    <row r="39" spans="1:22" x14ac:dyDescent="0.4">
      <c r="A39" s="12">
        <f t="shared" si="4"/>
        <v>56250</v>
      </c>
      <c r="B39" s="13">
        <f t="shared" si="5"/>
        <v>30</v>
      </c>
      <c r="C39" s="36">
        <f t="shared" si="21"/>
        <v>132000</v>
      </c>
      <c r="D39" s="14">
        <f t="shared" si="6"/>
        <v>2.3000000000000016</v>
      </c>
      <c r="E39" s="13">
        <f t="shared" si="7"/>
        <v>303600</v>
      </c>
      <c r="F39" s="13">
        <f t="shared" si="8"/>
        <v>435600</v>
      </c>
      <c r="G39" s="13">
        <f t="shared" si="15"/>
        <v>60984</v>
      </c>
      <c r="H39" s="13">
        <f t="shared" si="16"/>
        <v>43560</v>
      </c>
      <c r="I39" s="13">
        <f t="shared" si="17"/>
        <v>104544</v>
      </c>
      <c r="J39" s="13">
        <f t="shared" si="22"/>
        <v>731808</v>
      </c>
      <c r="K39" s="13">
        <f t="shared" si="22"/>
        <v>522720</v>
      </c>
      <c r="L39" s="13">
        <f t="shared" si="10"/>
        <v>1254528</v>
      </c>
      <c r="M39" s="13">
        <f t="shared" si="11"/>
        <v>19682028</v>
      </c>
      <c r="N39" s="18">
        <f t="shared" si="18"/>
        <v>1180922</v>
      </c>
      <c r="O39" s="18">
        <f t="shared" si="12"/>
        <v>20862950</v>
      </c>
      <c r="P39" s="22">
        <f t="shared" si="1"/>
        <v>56250</v>
      </c>
      <c r="Q39" s="23">
        <f t="shared" si="13"/>
        <v>124.7460580779822</v>
      </c>
      <c r="R39" s="23">
        <f t="shared" si="14"/>
        <v>10056.654449279351</v>
      </c>
      <c r="S39" s="23">
        <f t="shared" si="20"/>
        <v>252240.43404910242</v>
      </c>
      <c r="T39" s="24">
        <f t="shared" si="3"/>
        <v>31466000</v>
      </c>
      <c r="U39" s="242"/>
    </row>
    <row r="40" spans="1:22" x14ac:dyDescent="0.4">
      <c r="A40" s="12">
        <f t="shared" si="4"/>
        <v>56615</v>
      </c>
      <c r="B40" s="13">
        <f t="shared" si="5"/>
        <v>31</v>
      </c>
      <c r="C40" s="36">
        <f t="shared" si="21"/>
        <v>136000</v>
      </c>
      <c r="D40" s="14">
        <f t="shared" si="6"/>
        <v>2.3600000000000017</v>
      </c>
      <c r="E40" s="13">
        <f t="shared" si="7"/>
        <v>320960</v>
      </c>
      <c r="F40" s="13">
        <f t="shared" si="8"/>
        <v>456960</v>
      </c>
      <c r="G40" s="13">
        <f t="shared" si="15"/>
        <v>63974</v>
      </c>
      <c r="H40" s="13">
        <f t="shared" si="16"/>
        <v>45696</v>
      </c>
      <c r="I40" s="13">
        <f t="shared" si="17"/>
        <v>109670</v>
      </c>
      <c r="J40" s="13">
        <f t="shared" si="22"/>
        <v>767688</v>
      </c>
      <c r="K40" s="13">
        <f t="shared" si="22"/>
        <v>548352</v>
      </c>
      <c r="L40" s="13">
        <f t="shared" si="10"/>
        <v>1316040</v>
      </c>
      <c r="M40" s="13">
        <f t="shared" si="11"/>
        <v>20998068</v>
      </c>
      <c r="N40" s="18">
        <f t="shared" si="18"/>
        <v>1259884</v>
      </c>
      <c r="O40" s="18">
        <f t="shared" si="12"/>
        <v>22257952</v>
      </c>
      <c r="P40" s="22">
        <f t="shared" si="1"/>
        <v>56615</v>
      </c>
      <c r="Q40" s="23">
        <f t="shared" si="13"/>
        <v>129.73590040110147</v>
      </c>
      <c r="R40" s="23">
        <f t="shared" si="14"/>
        <v>10143.992494993519</v>
      </c>
      <c r="S40" s="23">
        <f t="shared" si="20"/>
        <v>262384.42654409591</v>
      </c>
      <c r="T40" s="24">
        <f t="shared" si="3"/>
        <v>34040680</v>
      </c>
      <c r="U40" s="242"/>
    </row>
    <row r="41" spans="1:22" x14ac:dyDescent="0.4">
      <c r="A41" s="12">
        <f t="shared" si="4"/>
        <v>56980</v>
      </c>
      <c r="B41" s="13">
        <f t="shared" si="5"/>
        <v>32</v>
      </c>
      <c r="C41" s="36">
        <f t="shared" si="21"/>
        <v>140100</v>
      </c>
      <c r="D41" s="14">
        <f t="shared" si="6"/>
        <v>2.4200000000000017</v>
      </c>
      <c r="E41" s="13">
        <f t="shared" si="7"/>
        <v>339042</v>
      </c>
      <c r="F41" s="13">
        <f t="shared" si="8"/>
        <v>479142</v>
      </c>
      <c r="G41" s="13">
        <f t="shared" si="15"/>
        <v>67080</v>
      </c>
      <c r="H41" s="13">
        <f t="shared" si="16"/>
        <v>47914</v>
      </c>
      <c r="I41" s="13">
        <f t="shared" si="17"/>
        <v>114994</v>
      </c>
      <c r="J41" s="13">
        <f t="shared" si="22"/>
        <v>804960</v>
      </c>
      <c r="K41" s="13">
        <f t="shared" si="22"/>
        <v>574968</v>
      </c>
      <c r="L41" s="13">
        <f t="shared" si="10"/>
        <v>1379928</v>
      </c>
      <c r="M41" s="13">
        <f t="shared" si="11"/>
        <v>22377996</v>
      </c>
      <c r="N41" s="18">
        <f t="shared" si="18"/>
        <v>1342680</v>
      </c>
      <c r="O41" s="18">
        <f t="shared" si="12"/>
        <v>23720676</v>
      </c>
      <c r="P41" s="22">
        <f t="shared" si="1"/>
        <v>56980</v>
      </c>
      <c r="Q41" s="23">
        <f t="shared" si="13"/>
        <v>134.92533641714553</v>
      </c>
      <c r="R41" s="23">
        <f t="shared" si="14"/>
        <v>10227.345261039103</v>
      </c>
      <c r="S41" s="23">
        <f t="shared" si="20"/>
        <v>272611.77180513501</v>
      </c>
      <c r="T41" s="24">
        <f t="shared" si="3"/>
        <v>36782235</v>
      </c>
      <c r="U41" s="242"/>
    </row>
    <row r="42" spans="1:22" x14ac:dyDescent="0.4">
      <c r="A42" s="12">
        <f t="shared" si="4"/>
        <v>57346</v>
      </c>
      <c r="B42" s="13">
        <f t="shared" si="5"/>
        <v>33</v>
      </c>
      <c r="C42" s="36">
        <f t="shared" si="21"/>
        <v>144300</v>
      </c>
      <c r="D42" s="14">
        <f t="shared" si="6"/>
        <v>2.4800000000000018</v>
      </c>
      <c r="E42" s="13">
        <f t="shared" si="7"/>
        <v>357864</v>
      </c>
      <c r="F42" s="13">
        <f t="shared" si="8"/>
        <v>502164</v>
      </c>
      <c r="G42" s="13">
        <f t="shared" si="15"/>
        <v>70303</v>
      </c>
      <c r="H42" s="13">
        <f t="shared" si="16"/>
        <v>50216</v>
      </c>
      <c r="I42" s="13">
        <f t="shared" si="17"/>
        <v>120519</v>
      </c>
      <c r="J42" s="13">
        <f t="shared" si="22"/>
        <v>843636</v>
      </c>
      <c r="K42" s="13">
        <f t="shared" si="22"/>
        <v>602592</v>
      </c>
      <c r="L42" s="13">
        <f t="shared" si="10"/>
        <v>1446228</v>
      </c>
      <c r="M42" s="13">
        <f t="shared" si="11"/>
        <v>23824224</v>
      </c>
      <c r="N42" s="18">
        <f t="shared" si="18"/>
        <v>1429453</v>
      </c>
      <c r="O42" s="18">
        <f t="shared" si="12"/>
        <v>25253677</v>
      </c>
      <c r="P42" s="22">
        <f t="shared" si="1"/>
        <v>57346</v>
      </c>
      <c r="Q42" s="23">
        <f t="shared" si="13"/>
        <v>140.32234987383134</v>
      </c>
      <c r="R42" s="23">
        <f t="shared" si="14"/>
        <v>10306.469363578599</v>
      </c>
      <c r="S42" s="23">
        <f t="shared" si="20"/>
        <v>282918.2411687136</v>
      </c>
      <c r="T42" s="24">
        <f t="shared" si="3"/>
        <v>39699752</v>
      </c>
      <c r="U42" s="242"/>
    </row>
    <row r="43" spans="1:22" x14ac:dyDescent="0.4">
      <c r="A43" s="12">
        <f t="shared" si="4"/>
        <v>57711</v>
      </c>
      <c r="B43" s="13">
        <f t="shared" si="5"/>
        <v>34</v>
      </c>
      <c r="C43" s="36">
        <f t="shared" si="21"/>
        <v>148600</v>
      </c>
      <c r="D43" s="14">
        <f t="shared" si="6"/>
        <v>2.5400000000000018</v>
      </c>
      <c r="E43" s="13">
        <f t="shared" si="7"/>
        <v>377444</v>
      </c>
      <c r="F43" s="13">
        <f t="shared" si="8"/>
        <v>526044</v>
      </c>
      <c r="G43" s="13">
        <f t="shared" si="15"/>
        <v>73646</v>
      </c>
      <c r="H43" s="13">
        <f t="shared" si="16"/>
        <v>52604</v>
      </c>
      <c r="I43" s="13">
        <f t="shared" si="17"/>
        <v>126250</v>
      </c>
      <c r="J43" s="13">
        <f t="shared" si="22"/>
        <v>883752</v>
      </c>
      <c r="K43" s="13">
        <f t="shared" si="22"/>
        <v>631248</v>
      </c>
      <c r="L43" s="13">
        <f t="shared" si="10"/>
        <v>1515000</v>
      </c>
      <c r="M43" s="13">
        <f t="shared" si="11"/>
        <v>25339224</v>
      </c>
      <c r="N43" s="18">
        <f t="shared" si="18"/>
        <v>1520353</v>
      </c>
      <c r="O43" s="18">
        <f t="shared" si="12"/>
        <v>26859577</v>
      </c>
      <c r="P43" s="22">
        <f>+A43</f>
        <v>57711</v>
      </c>
      <c r="Q43" s="23">
        <f t="shared" si="13"/>
        <v>145.9352438687846</v>
      </c>
      <c r="R43" s="23">
        <f t="shared" si="14"/>
        <v>10381.316807625913</v>
      </c>
      <c r="S43" s="23">
        <f t="shared" si="20"/>
        <v>293299.55797633954</v>
      </c>
      <c r="T43" s="24">
        <f t="shared" si="3"/>
        <v>42802743</v>
      </c>
      <c r="U43" s="242"/>
    </row>
    <row r="44" spans="1:22" x14ac:dyDescent="0.4">
      <c r="A44" s="12">
        <f t="shared" si="4"/>
        <v>58076</v>
      </c>
      <c r="B44" s="13">
        <f t="shared" si="5"/>
        <v>35</v>
      </c>
      <c r="C44" s="36">
        <f t="shared" si="21"/>
        <v>153100</v>
      </c>
      <c r="D44" s="14">
        <f t="shared" si="6"/>
        <v>2.6000000000000019</v>
      </c>
      <c r="E44" s="13">
        <f t="shared" si="7"/>
        <v>398060</v>
      </c>
      <c r="F44" s="13">
        <f t="shared" si="8"/>
        <v>551160</v>
      </c>
      <c r="G44" s="13">
        <f t="shared" si="15"/>
        <v>77162</v>
      </c>
      <c r="H44" s="13">
        <f t="shared" si="16"/>
        <v>55116</v>
      </c>
      <c r="I44" s="13">
        <f t="shared" si="17"/>
        <v>132278</v>
      </c>
      <c r="J44" s="13">
        <f t="shared" si="22"/>
        <v>925944</v>
      </c>
      <c r="K44" s="13">
        <f t="shared" si="22"/>
        <v>661392</v>
      </c>
      <c r="L44" s="13">
        <f t="shared" si="10"/>
        <v>1587336</v>
      </c>
      <c r="M44" s="13">
        <f t="shared" si="11"/>
        <v>26926560</v>
      </c>
      <c r="N44" s="18">
        <f t="shared" si="18"/>
        <v>1615594</v>
      </c>
      <c r="O44" s="18">
        <f t="shared" si="12"/>
        <v>28542154</v>
      </c>
      <c r="P44" s="22">
        <f t="shared" ref="P44" si="42">+A44</f>
        <v>58076</v>
      </c>
      <c r="Q44" s="23">
        <f t="shared" si="13"/>
        <v>151.77265362353597</v>
      </c>
      <c r="R44" s="23">
        <f t="shared" si="14"/>
        <v>10458.642990701755</v>
      </c>
      <c r="S44" s="23">
        <f t="shared" si="20"/>
        <v>303758.20096704131</v>
      </c>
      <c r="T44" s="24">
        <f t="shared" si="3"/>
        <v>46102188</v>
      </c>
      <c r="U44" s="242"/>
    </row>
    <row r="45" spans="1:22" s="5" customFormat="1" ht="18.75" thickBot="1" x14ac:dyDescent="0.45">
      <c r="A45" s="37" t="str">
        <f t="shared" si="4"/>
        <v/>
      </c>
      <c r="B45" s="38">
        <f t="shared" si="5"/>
        <v>0</v>
      </c>
      <c r="C45" s="39" t="str">
        <f t="shared" si="21"/>
        <v/>
      </c>
      <c r="D45" s="40">
        <f t="shared" si="6"/>
        <v>0</v>
      </c>
      <c r="E45" s="38">
        <f t="shared" si="7"/>
        <v>0</v>
      </c>
      <c r="F45" s="38">
        <f t="shared" si="8"/>
        <v>0</v>
      </c>
      <c r="G45" s="38">
        <f t="shared" si="15"/>
        <v>0</v>
      </c>
      <c r="H45" s="38">
        <f t="shared" si="16"/>
        <v>0</v>
      </c>
      <c r="I45" s="38">
        <f t="shared" si="17"/>
        <v>0</v>
      </c>
      <c r="J45" s="38">
        <f t="shared" si="22"/>
        <v>0</v>
      </c>
      <c r="K45" s="38">
        <f t="shared" si="22"/>
        <v>0</v>
      </c>
      <c r="L45" s="38">
        <f t="shared" si="10"/>
        <v>0</v>
      </c>
      <c r="M45" s="38">
        <f t="shared" si="11"/>
        <v>0</v>
      </c>
      <c r="N45" s="41">
        <f t="shared" si="18"/>
        <v>0</v>
      </c>
      <c r="O45" s="41">
        <f t="shared" si="12"/>
        <v>0</v>
      </c>
      <c r="P45" s="42" t="str">
        <f>+A45</f>
        <v/>
      </c>
      <c r="Q45" s="43">
        <f t="shared" si="13"/>
        <v>0</v>
      </c>
      <c r="R45" s="43">
        <f t="shared" si="14"/>
        <v>0</v>
      </c>
      <c r="S45" s="43">
        <f t="shared" si="20"/>
        <v>0</v>
      </c>
      <c r="T45" s="44">
        <f t="shared" si="3"/>
        <v>0</v>
      </c>
      <c r="U45" s="242"/>
    </row>
    <row r="46" spans="1:22" ht="18.75" thickBot="1" x14ac:dyDescent="0.45">
      <c r="A46" s="26">
        <f>MAX(A10:A45)</f>
        <v>58076</v>
      </c>
      <c r="B46" s="27">
        <f>MAX(B10:B45)</f>
        <v>35</v>
      </c>
      <c r="C46" s="27">
        <f>MAX(C10:C45)</f>
        <v>153100</v>
      </c>
      <c r="D46" s="28">
        <f>MAX(D10:D45)</f>
        <v>2.6000000000000019</v>
      </c>
      <c r="E46" s="27">
        <f>SUM(E10:E45)</f>
        <v>5958912</v>
      </c>
      <c r="F46" s="27">
        <f>SUM(F10:F45)</f>
        <v>9349512</v>
      </c>
      <c r="G46" s="27">
        <f>SUM(G9:G45)</f>
        <v>1308930</v>
      </c>
      <c r="H46" s="27">
        <f>SUM(H9:H45)</f>
        <v>934950</v>
      </c>
      <c r="I46" s="27">
        <f>SUM(I10:I45)</f>
        <v>2243880</v>
      </c>
      <c r="J46" s="27">
        <f t="shared" ref="J46:K46" si="43">SUM(J10:J45)</f>
        <v>15707160</v>
      </c>
      <c r="K46" s="27">
        <f t="shared" si="43"/>
        <v>11219400</v>
      </c>
      <c r="L46" s="27">
        <f>SUM(L10:L45)</f>
        <v>26926560</v>
      </c>
      <c r="M46" s="27">
        <f>MAX(M10:M45)</f>
        <v>26926560</v>
      </c>
      <c r="N46" s="27">
        <f>SUM(N10:N45)</f>
        <v>20900654</v>
      </c>
      <c r="O46" s="27">
        <f t="shared" ref="O46:T46" si="44">MAX(O10:O45)</f>
        <v>28542154</v>
      </c>
      <c r="P46" s="27">
        <f t="shared" si="44"/>
        <v>58076</v>
      </c>
      <c r="Q46" s="27">
        <f t="shared" si="44"/>
        <v>151.77265362353597</v>
      </c>
      <c r="R46" s="27">
        <f t="shared" si="44"/>
        <v>10458.642990701755</v>
      </c>
      <c r="S46" s="27">
        <f t="shared" si="44"/>
        <v>303758.20096704131</v>
      </c>
      <c r="T46" s="27">
        <f t="shared" si="44"/>
        <v>46102188</v>
      </c>
      <c r="U46" s="242"/>
      <c r="V46" s="1">
        <f>+T46*64%</f>
        <v>29505400.32</v>
      </c>
    </row>
    <row r="47" spans="1:22" x14ac:dyDescent="0.4">
      <c r="A47" s="250" t="s">
        <v>35</v>
      </c>
      <c r="B47" s="250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30"/>
      <c r="O47" s="30"/>
      <c r="P47" s="30"/>
      <c r="Q47" s="30"/>
      <c r="R47" s="30"/>
      <c r="S47" s="30"/>
      <c r="T47" s="30"/>
      <c r="U47" s="242"/>
    </row>
    <row r="48" spans="1:22" x14ac:dyDescent="0.4">
      <c r="A48" s="191" t="s">
        <v>39</v>
      </c>
      <c r="B48" s="192"/>
      <c r="C48" s="192"/>
      <c r="D48" s="192"/>
      <c r="E48" s="192"/>
      <c r="F48" s="45"/>
      <c r="G48" s="46" t="s">
        <v>57</v>
      </c>
      <c r="H48" s="45"/>
      <c r="I48" s="45"/>
      <c r="J48" s="45"/>
      <c r="K48" s="45"/>
      <c r="L48" s="45"/>
      <c r="M48" s="30"/>
      <c r="N48" s="30"/>
      <c r="O48" s="30"/>
      <c r="P48" s="30"/>
      <c r="Q48" s="30"/>
      <c r="R48" s="30"/>
      <c r="S48" s="30"/>
      <c r="T48" s="30"/>
      <c r="U48" s="242"/>
      <c r="V48" s="1">
        <f>SUM(V46:V47)</f>
        <v>29505400.32</v>
      </c>
    </row>
    <row r="49" spans="1:22" ht="18" customHeight="1" x14ac:dyDescent="0.4">
      <c r="A49" s="47" t="s">
        <v>36</v>
      </c>
      <c r="B49" s="193" t="s">
        <v>56</v>
      </c>
      <c r="C49" s="193"/>
      <c r="D49" s="193" t="s">
        <v>55</v>
      </c>
      <c r="E49" s="193"/>
      <c r="F49" s="45"/>
      <c r="G49" s="251" t="s">
        <v>58</v>
      </c>
      <c r="H49" s="251"/>
      <c r="I49" s="251"/>
      <c r="J49" s="251"/>
      <c r="K49" s="92"/>
      <c r="L49" s="92"/>
      <c r="M49" s="30"/>
      <c r="N49" s="30"/>
      <c r="O49" s="30"/>
      <c r="P49" s="30"/>
      <c r="Q49" s="30"/>
      <c r="R49" s="30"/>
      <c r="S49" s="30"/>
      <c r="T49" s="30"/>
      <c r="U49" s="242"/>
    </row>
    <row r="50" spans="1:22" x14ac:dyDescent="0.4">
      <c r="A50" s="47">
        <v>1</v>
      </c>
      <c r="B50" s="193" t="s">
        <v>17</v>
      </c>
      <c r="C50" s="193"/>
      <c r="D50" s="193">
        <f>+C46</f>
        <v>153100</v>
      </c>
      <c r="E50" s="193"/>
      <c r="F50" s="45"/>
      <c r="G50" s="251"/>
      <c r="H50" s="251"/>
      <c r="I50" s="251"/>
      <c r="J50" s="251"/>
      <c r="K50" s="92"/>
      <c r="L50" s="92"/>
      <c r="M50" s="30"/>
      <c r="N50" s="30"/>
      <c r="O50" s="30"/>
      <c r="P50" s="30"/>
      <c r="Q50" s="30"/>
      <c r="R50" s="30"/>
      <c r="S50" s="30"/>
      <c r="T50" s="30"/>
      <c r="U50" s="242"/>
    </row>
    <row r="51" spans="1:22" x14ac:dyDescent="0.4">
      <c r="A51" s="47">
        <v>2</v>
      </c>
      <c r="B51" s="193" t="s">
        <v>37</v>
      </c>
      <c r="C51" s="193"/>
      <c r="D51" s="193">
        <f>+D50/2</f>
        <v>76550</v>
      </c>
      <c r="E51" s="193"/>
      <c r="F51" s="45"/>
      <c r="G51" s="251"/>
      <c r="H51" s="251"/>
      <c r="I51" s="251"/>
      <c r="J51" s="251"/>
      <c r="K51" s="45"/>
      <c r="L51" s="45"/>
      <c r="M51" s="30"/>
      <c r="N51" s="30"/>
      <c r="O51" s="30"/>
      <c r="P51" s="30"/>
      <c r="Q51" s="30"/>
      <c r="R51" s="30"/>
      <c r="S51" s="30"/>
      <c r="T51" s="30"/>
      <c r="U51" s="242"/>
    </row>
    <row r="52" spans="1:22" x14ac:dyDescent="0.4">
      <c r="A52" s="47">
        <v>3</v>
      </c>
      <c r="B52" s="193" t="s">
        <v>19</v>
      </c>
      <c r="C52" s="193"/>
      <c r="D52" s="193">
        <f>ROUND(D51*D46,0)</f>
        <v>199030</v>
      </c>
      <c r="E52" s="193"/>
      <c r="F52" s="45"/>
      <c r="G52" s="251"/>
      <c r="H52" s="251"/>
      <c r="I52" s="251"/>
      <c r="J52" s="251"/>
      <c r="K52" s="45"/>
      <c r="L52" s="45"/>
      <c r="M52" s="30"/>
      <c r="N52" s="30"/>
      <c r="O52" s="30"/>
      <c r="P52" s="30"/>
      <c r="Q52" s="30"/>
      <c r="R52" s="30"/>
      <c r="S52" s="30"/>
      <c r="T52" s="30"/>
      <c r="U52" s="242"/>
      <c r="V52" s="1">
        <f>+T46/240</f>
        <v>192092.45</v>
      </c>
    </row>
    <row r="53" spans="1:22" x14ac:dyDescent="0.4">
      <c r="A53" s="47">
        <v>4</v>
      </c>
      <c r="B53" s="193" t="s">
        <v>18</v>
      </c>
      <c r="C53" s="193"/>
      <c r="D53" s="193">
        <f>+D51+D52</f>
        <v>275580</v>
      </c>
      <c r="E53" s="193"/>
      <c r="F53" s="45"/>
      <c r="G53" s="251"/>
      <c r="H53" s="251"/>
      <c r="I53" s="251"/>
      <c r="J53" s="251"/>
      <c r="K53" s="45"/>
      <c r="L53" s="45"/>
      <c r="M53" s="30"/>
      <c r="N53" s="30"/>
      <c r="O53" s="30"/>
      <c r="P53" s="30"/>
      <c r="Q53" s="30"/>
      <c r="R53" s="30"/>
      <c r="S53" s="30"/>
      <c r="T53" s="30"/>
      <c r="U53" s="242"/>
    </row>
    <row r="54" spans="1:22" ht="32.25" customHeight="1" x14ac:dyDescent="0.4">
      <c r="A54" s="213" t="s">
        <v>62</v>
      </c>
      <c r="B54" s="213"/>
      <c r="C54" s="213"/>
      <c r="D54" s="213"/>
      <c r="E54" s="213"/>
      <c r="F54" s="45"/>
      <c r="G54" s="251"/>
      <c r="H54" s="251"/>
      <c r="I54" s="251"/>
      <c r="J54" s="251"/>
      <c r="K54" s="45"/>
      <c r="L54" s="45"/>
      <c r="M54" s="30"/>
      <c r="N54" s="30"/>
      <c r="O54" s="30"/>
      <c r="P54" s="30"/>
      <c r="Q54" s="30"/>
      <c r="R54" s="30"/>
      <c r="S54" s="30"/>
      <c r="T54" s="30"/>
      <c r="U54" s="242"/>
    </row>
    <row r="55" spans="1:22" x14ac:dyDescent="0.4">
      <c r="A55" s="203" t="s">
        <v>38</v>
      </c>
      <c r="B55" s="203"/>
      <c r="C55" s="203"/>
      <c r="D55" s="193">
        <f>+ROUND(D50*30%,0)</f>
        <v>45930</v>
      </c>
      <c r="E55" s="193"/>
      <c r="F55" s="45"/>
      <c r="G55" s="251"/>
      <c r="H55" s="251"/>
      <c r="I55" s="251"/>
      <c r="J55" s="251"/>
      <c r="K55" s="45"/>
      <c r="L55" s="45"/>
      <c r="M55" s="30"/>
      <c r="N55" s="30"/>
      <c r="O55" s="30"/>
      <c r="P55" s="30"/>
      <c r="Q55" s="30"/>
      <c r="R55" s="30"/>
      <c r="S55" s="30"/>
      <c r="T55" s="30"/>
      <c r="U55" s="242"/>
    </row>
    <row r="56" spans="1:22" x14ac:dyDescent="0.4">
      <c r="A56" s="203" t="s">
        <v>19</v>
      </c>
      <c r="B56" s="203"/>
      <c r="C56" s="203"/>
      <c r="D56" s="193">
        <f>ROUND(D55*D46,0)</f>
        <v>119418</v>
      </c>
      <c r="E56" s="193"/>
      <c r="F56" s="45"/>
      <c r="G56" s="251"/>
      <c r="H56" s="251"/>
      <c r="I56" s="251"/>
      <c r="J56" s="251"/>
      <c r="K56" s="45"/>
      <c r="L56" s="45"/>
      <c r="M56" s="30"/>
      <c r="N56" s="30"/>
      <c r="O56" s="30"/>
      <c r="P56" s="30"/>
      <c r="Q56" s="30"/>
      <c r="R56" s="30"/>
      <c r="S56" s="30"/>
      <c r="T56" s="30"/>
      <c r="U56" s="242"/>
    </row>
    <row r="57" spans="1:22" x14ac:dyDescent="0.4">
      <c r="A57" s="203" t="s">
        <v>21</v>
      </c>
      <c r="B57" s="203"/>
      <c r="C57" s="203"/>
      <c r="D57" s="193">
        <f>+D55+D56</f>
        <v>165348</v>
      </c>
      <c r="E57" s="193"/>
      <c r="F57" s="45"/>
      <c r="G57" s="45" t="s">
        <v>113</v>
      </c>
      <c r="H57" s="45"/>
      <c r="I57" s="114">
        <f>((D50*D46)+D50)*10</f>
        <v>5511600.0000000019</v>
      </c>
      <c r="J57" s="45"/>
      <c r="K57" s="45"/>
      <c r="L57" s="45"/>
      <c r="M57" s="30"/>
      <c r="N57" s="30"/>
      <c r="O57" s="30"/>
      <c r="P57" s="30"/>
      <c r="Q57" s="30"/>
      <c r="R57" s="30"/>
      <c r="S57" s="30"/>
      <c r="T57" s="30"/>
      <c r="U57" s="242"/>
    </row>
    <row r="58" spans="1:22" x14ac:dyDescent="0.4">
      <c r="A58" s="203"/>
      <c r="B58" s="203"/>
      <c r="C58" s="203"/>
      <c r="D58" s="193"/>
      <c r="E58" s="193"/>
      <c r="F58" s="45"/>
      <c r="G58" s="45"/>
      <c r="H58" s="45"/>
      <c r="I58" s="45"/>
      <c r="J58" s="45"/>
      <c r="K58" s="45"/>
      <c r="L58" s="45"/>
      <c r="M58" s="30"/>
      <c r="N58" s="30"/>
      <c r="O58" s="30"/>
      <c r="P58" s="30"/>
      <c r="Q58" s="30"/>
      <c r="R58" s="30"/>
      <c r="S58" s="30"/>
      <c r="T58" s="30"/>
      <c r="U58" s="242"/>
    </row>
    <row r="59" spans="1:22" ht="22.5" customHeight="1" x14ac:dyDescent="0.4">
      <c r="A59" s="253" t="s">
        <v>40</v>
      </c>
      <c r="B59" s="253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48"/>
      <c r="N59" s="30"/>
      <c r="O59" s="30"/>
      <c r="P59" s="30"/>
      <c r="Q59" s="30"/>
      <c r="R59" s="30"/>
      <c r="S59" s="30"/>
      <c r="T59" s="30"/>
      <c r="U59" s="242"/>
    </row>
    <row r="60" spans="1:22" x14ac:dyDescent="0.4">
      <c r="A60" s="204" t="s">
        <v>63</v>
      </c>
      <c r="B60" s="205"/>
      <c r="C60" s="206"/>
      <c r="D60" s="285">
        <f>+T46*40%</f>
        <v>18440875.199999999</v>
      </c>
      <c r="E60" s="286"/>
      <c r="F60" s="49">
        <f>ROUND((D60*8%)/12,0)</f>
        <v>122939</v>
      </c>
      <c r="G60" s="50"/>
      <c r="H60" s="52" t="s">
        <v>57</v>
      </c>
      <c r="I60" s="50"/>
      <c r="J60" s="50"/>
      <c r="K60" s="50"/>
      <c r="L60" s="50"/>
      <c r="M60" s="30"/>
      <c r="N60" s="30"/>
      <c r="O60" s="30"/>
      <c r="P60" s="30"/>
      <c r="Q60" s="30"/>
      <c r="R60" s="30"/>
      <c r="S60" s="30"/>
      <c r="T60" s="30"/>
      <c r="U60" s="242"/>
    </row>
    <row r="61" spans="1:22" x14ac:dyDescent="0.4">
      <c r="A61" s="208" t="s">
        <v>64</v>
      </c>
      <c r="B61" s="208"/>
      <c r="C61" s="208"/>
      <c r="D61" s="284">
        <f>+T46*60%</f>
        <v>27661312.800000001</v>
      </c>
      <c r="E61" s="284"/>
      <c r="F61" s="49">
        <f>ROUND((D61*8%)/12,0)</f>
        <v>184409</v>
      </c>
      <c r="G61" s="50"/>
      <c r="H61" s="50"/>
      <c r="I61" s="50"/>
      <c r="J61" s="50"/>
      <c r="K61" s="50"/>
      <c r="L61" s="50"/>
      <c r="M61" s="30"/>
      <c r="N61" s="30"/>
      <c r="O61" s="30"/>
      <c r="P61" s="30"/>
      <c r="Q61" s="30"/>
      <c r="R61" s="30"/>
      <c r="S61" s="30"/>
      <c r="T61" s="30"/>
      <c r="U61" s="242"/>
    </row>
    <row r="62" spans="1:22" x14ac:dyDescent="0.4">
      <c r="A62" s="208" t="s">
        <v>65</v>
      </c>
      <c r="B62" s="208"/>
      <c r="C62" s="208"/>
      <c r="D62" s="284">
        <f>SUM(D60:D61)</f>
        <v>46102188</v>
      </c>
      <c r="E62" s="284"/>
      <c r="F62" s="49">
        <f>SUM(F60:F61)</f>
        <v>307348</v>
      </c>
      <c r="G62" s="256" t="s">
        <v>61</v>
      </c>
      <c r="H62" s="256"/>
      <c r="I62" s="256"/>
      <c r="J62" s="256"/>
      <c r="K62" s="50"/>
      <c r="L62" s="50"/>
      <c r="M62" s="30"/>
      <c r="N62" s="30"/>
      <c r="O62" s="30"/>
      <c r="P62" s="30"/>
      <c r="Q62" s="30"/>
      <c r="R62" s="30"/>
      <c r="S62" s="30"/>
      <c r="T62" s="30"/>
      <c r="U62" s="242"/>
    </row>
    <row r="63" spans="1:22" x14ac:dyDescent="0.4">
      <c r="A63" s="210" t="s">
        <v>66</v>
      </c>
      <c r="B63" s="211"/>
      <c r="C63" s="211"/>
      <c r="D63" s="211"/>
      <c r="E63" s="212"/>
      <c r="F63" s="51">
        <f>+F62</f>
        <v>307348</v>
      </c>
      <c r="G63" s="256"/>
      <c r="H63" s="256"/>
      <c r="I63" s="256"/>
      <c r="J63" s="256"/>
      <c r="K63" s="50"/>
      <c r="L63" s="50"/>
      <c r="M63" s="30"/>
      <c r="N63" s="30"/>
      <c r="O63" s="30"/>
      <c r="P63" s="30"/>
      <c r="Q63" s="30"/>
      <c r="R63" s="30"/>
      <c r="S63" s="30"/>
      <c r="T63" s="30"/>
      <c r="U63" s="242"/>
    </row>
    <row r="64" spans="1:22" x14ac:dyDescent="0.4">
      <c r="A64" s="210" t="s">
        <v>67</v>
      </c>
      <c r="B64" s="211"/>
      <c r="C64" s="211"/>
      <c r="D64" s="211"/>
      <c r="E64" s="212"/>
      <c r="F64" s="51">
        <f>+F63-D53</f>
        <v>31768</v>
      </c>
      <c r="G64" s="256"/>
      <c r="H64" s="256"/>
      <c r="I64" s="256"/>
      <c r="J64" s="256"/>
      <c r="K64" s="50"/>
      <c r="L64" s="50"/>
      <c r="M64" s="30"/>
      <c r="N64" s="30"/>
      <c r="O64" s="30"/>
      <c r="P64" s="30"/>
      <c r="Q64" s="30"/>
      <c r="R64" s="30"/>
      <c r="S64" s="30"/>
      <c r="T64" s="30"/>
      <c r="U64" s="242"/>
    </row>
    <row r="65" spans="1:21" x14ac:dyDescent="0.4">
      <c r="A65" s="50"/>
      <c r="B65" s="50"/>
      <c r="C65" s="50"/>
      <c r="D65" s="50"/>
      <c r="E65" s="50"/>
      <c r="F65" s="50"/>
      <c r="G65" s="256"/>
      <c r="H65" s="256"/>
      <c r="I65" s="256"/>
      <c r="J65" s="256"/>
      <c r="K65" s="50"/>
      <c r="L65" s="50"/>
      <c r="M65" s="30"/>
      <c r="N65" s="30"/>
      <c r="O65" s="30"/>
      <c r="P65" s="30"/>
      <c r="Q65" s="30"/>
      <c r="R65" s="30"/>
      <c r="S65" s="30"/>
      <c r="T65" s="30"/>
      <c r="U65" s="242"/>
    </row>
    <row r="66" spans="1:21" x14ac:dyDescent="0.4">
      <c r="A66" s="49" t="s">
        <v>36</v>
      </c>
      <c r="B66" s="252" t="s">
        <v>56</v>
      </c>
      <c r="C66" s="252"/>
      <c r="D66" s="252" t="s">
        <v>55</v>
      </c>
      <c r="E66" s="252"/>
      <c r="F66" s="50"/>
      <c r="G66" s="256"/>
      <c r="H66" s="256"/>
      <c r="I66" s="256"/>
      <c r="J66" s="256"/>
      <c r="K66" s="50"/>
      <c r="L66" s="50"/>
      <c r="M66" s="30"/>
      <c r="N66" s="30"/>
      <c r="O66" s="30"/>
      <c r="P66" s="30"/>
      <c r="Q66" s="30"/>
      <c r="R66" s="30"/>
      <c r="S66" s="30"/>
      <c r="T66" s="30"/>
      <c r="U66" s="242"/>
    </row>
    <row r="67" spans="1:21" ht="18" customHeight="1" x14ac:dyDescent="0.4">
      <c r="A67" s="49">
        <v>1</v>
      </c>
      <c r="B67" s="252" t="s">
        <v>17</v>
      </c>
      <c r="C67" s="252"/>
      <c r="D67" s="252">
        <f>+D50</f>
        <v>153100</v>
      </c>
      <c r="E67" s="252"/>
      <c r="F67" s="50"/>
      <c r="G67" s="256"/>
      <c r="H67" s="256"/>
      <c r="I67" s="256"/>
      <c r="J67" s="256"/>
      <c r="K67" s="93"/>
      <c r="L67" s="93"/>
      <c r="M67" s="30"/>
      <c r="N67" s="30"/>
      <c r="O67" s="30"/>
      <c r="P67" s="30"/>
      <c r="Q67" s="30"/>
      <c r="R67" s="30"/>
      <c r="S67" s="30"/>
      <c r="T67" s="30"/>
      <c r="U67" s="242"/>
    </row>
    <row r="68" spans="1:21" x14ac:dyDescent="0.4">
      <c r="A68" s="49">
        <v>2</v>
      </c>
      <c r="B68" s="252" t="s">
        <v>37</v>
      </c>
      <c r="C68" s="252"/>
      <c r="D68" s="252">
        <f>+D67/2</f>
        <v>76550</v>
      </c>
      <c r="E68" s="252"/>
      <c r="F68" s="50"/>
      <c r="G68" s="93"/>
      <c r="H68" s="93"/>
      <c r="I68" s="93"/>
      <c r="J68" s="93"/>
      <c r="K68" s="93"/>
      <c r="L68" s="93"/>
      <c r="M68" s="30"/>
      <c r="N68" s="30"/>
      <c r="O68" s="30"/>
      <c r="P68" s="30"/>
      <c r="Q68" s="30"/>
      <c r="R68" s="30"/>
      <c r="S68" s="30"/>
      <c r="T68" s="30"/>
      <c r="U68" s="242"/>
    </row>
    <row r="69" spans="1:21" x14ac:dyDescent="0.4">
      <c r="A69" s="49">
        <v>3</v>
      </c>
      <c r="B69" s="252" t="s">
        <v>19</v>
      </c>
      <c r="C69" s="252"/>
      <c r="D69" s="252">
        <f>ROUND(D68*D46,0)</f>
        <v>199030</v>
      </c>
      <c r="E69" s="252"/>
      <c r="F69" s="50"/>
      <c r="G69" s="52" t="s">
        <v>59</v>
      </c>
      <c r="H69" s="50"/>
      <c r="I69" s="50"/>
      <c r="J69" s="50"/>
      <c r="K69" s="50" cm="1">
        <f t="array" ref="K69">D68/2*MIN(66, DATEDIF(H5,H6,"Y")*2 + _xlfn.IFS(DATEDIF(H5,H6,"Ym")&gt;9, 2, DATEDIF(H5,H6,"Ym")&gt;3, 1, TRUE, 0))</f>
        <v>2526150</v>
      </c>
      <c r="L69" s="50" t="s">
        <v>84</v>
      </c>
      <c r="M69" s="30"/>
      <c r="N69" s="30"/>
      <c r="O69" s="30"/>
      <c r="P69" s="30"/>
      <c r="Q69" s="30"/>
      <c r="R69" s="30"/>
      <c r="S69" s="30"/>
      <c r="T69" s="30"/>
      <c r="U69" s="242"/>
    </row>
    <row r="70" spans="1:21" x14ac:dyDescent="0.4">
      <c r="A70" s="49">
        <v>4</v>
      </c>
      <c r="B70" s="252" t="s">
        <v>116</v>
      </c>
      <c r="C70" s="252"/>
      <c r="D70" s="252">
        <f>+D68+D69</f>
        <v>275580</v>
      </c>
      <c r="E70" s="252"/>
      <c r="F70" s="50"/>
      <c r="G70" s="52" t="s">
        <v>60</v>
      </c>
      <c r="H70" s="50"/>
      <c r="I70" s="50"/>
      <c r="J70" s="50"/>
      <c r="K70" s="50"/>
      <c r="L70" s="50"/>
      <c r="M70" s="30"/>
      <c r="N70" s="30"/>
      <c r="O70" s="30"/>
      <c r="P70" s="30"/>
      <c r="Q70" s="30"/>
      <c r="R70" s="30"/>
      <c r="S70" s="30"/>
      <c r="T70" s="30"/>
      <c r="U70" s="242"/>
    </row>
    <row r="71" spans="1:21" x14ac:dyDescent="0.4">
      <c r="A71" s="258" t="s">
        <v>62</v>
      </c>
      <c r="B71" s="258"/>
      <c r="C71" s="258"/>
      <c r="D71" s="258"/>
      <c r="E71" s="258"/>
      <c r="F71" s="50"/>
      <c r="G71" s="45" t="s">
        <v>113</v>
      </c>
      <c r="H71" s="50"/>
      <c r="I71" s="115">
        <f>+I57</f>
        <v>5511600.0000000019</v>
      </c>
      <c r="J71" s="50"/>
      <c r="K71" s="50"/>
      <c r="L71" s="50"/>
      <c r="M71" s="30"/>
      <c r="N71" s="30"/>
      <c r="O71" s="30"/>
      <c r="P71" s="30"/>
      <c r="Q71" s="30"/>
      <c r="R71" s="30"/>
      <c r="S71" s="30"/>
      <c r="T71" s="30"/>
      <c r="U71" s="242"/>
    </row>
    <row r="72" spans="1:21" x14ac:dyDescent="0.4">
      <c r="A72" s="257" t="s">
        <v>38</v>
      </c>
      <c r="B72" s="257"/>
      <c r="C72" s="257"/>
      <c r="D72" s="252">
        <f>+ROUND(D67*30%,0)</f>
        <v>45930</v>
      </c>
      <c r="E72" s="252"/>
      <c r="F72" s="50"/>
      <c r="G72" s="50"/>
      <c r="H72" s="111">
        <f>+D60</f>
        <v>18440875.199999999</v>
      </c>
      <c r="I72" s="52" t="s">
        <v>81</v>
      </c>
      <c r="J72" s="50"/>
      <c r="K72" s="50"/>
      <c r="L72" s="50"/>
      <c r="M72" s="30"/>
      <c r="N72" s="30"/>
      <c r="O72" s="30"/>
      <c r="P72" s="30"/>
      <c r="Q72" s="30"/>
      <c r="R72" s="30"/>
      <c r="S72" s="30"/>
      <c r="T72" s="30"/>
      <c r="U72" s="242"/>
    </row>
    <row r="73" spans="1:21" x14ac:dyDescent="0.4">
      <c r="A73" s="257" t="s">
        <v>19</v>
      </c>
      <c r="B73" s="257"/>
      <c r="C73" s="257"/>
      <c r="D73" s="252">
        <f>ROUND(D72*D46,0)</f>
        <v>119418</v>
      </c>
      <c r="E73" s="252"/>
      <c r="F73" s="50"/>
      <c r="G73" s="50"/>
      <c r="H73" s="50"/>
      <c r="I73" s="50"/>
      <c r="J73" s="50"/>
      <c r="K73" s="50"/>
      <c r="L73" s="50"/>
      <c r="M73" s="30"/>
      <c r="N73" s="30"/>
      <c r="O73" s="30"/>
      <c r="P73" s="30"/>
      <c r="Q73" s="30"/>
      <c r="R73" s="30"/>
      <c r="S73" s="30"/>
      <c r="T73" s="30"/>
      <c r="U73" s="242"/>
    </row>
    <row r="74" spans="1:21" x14ac:dyDescent="0.4">
      <c r="A74" s="257" t="s">
        <v>21</v>
      </c>
      <c r="B74" s="257"/>
      <c r="C74" s="257"/>
      <c r="D74" s="252">
        <f>+D72+D73</f>
        <v>165348</v>
      </c>
      <c r="E74" s="252"/>
      <c r="F74" s="50"/>
      <c r="G74" s="50"/>
      <c r="H74" s="50"/>
      <c r="I74" s="50"/>
      <c r="J74" s="50"/>
      <c r="K74" s="50"/>
      <c r="L74" s="50"/>
      <c r="M74" s="30"/>
      <c r="N74" s="30"/>
      <c r="O74" s="30"/>
      <c r="P74" s="30"/>
      <c r="Q74" s="30"/>
      <c r="R74" s="30"/>
      <c r="S74" s="30"/>
      <c r="T74" s="30"/>
      <c r="U74" s="242"/>
    </row>
    <row r="75" spans="1:21" x14ac:dyDescent="0.4">
      <c r="A75" s="259" t="s">
        <v>41</v>
      </c>
      <c r="B75" s="260"/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30"/>
      <c r="N75" s="30"/>
      <c r="O75" s="30"/>
      <c r="P75" s="30"/>
      <c r="Q75" s="30"/>
      <c r="R75" s="30"/>
      <c r="S75" s="30"/>
      <c r="T75" s="30"/>
      <c r="U75" s="242"/>
    </row>
    <row r="76" spans="1:21" x14ac:dyDescent="0.4">
      <c r="A76" s="31"/>
      <c r="B76" s="5"/>
      <c r="C76" s="5"/>
      <c r="D76" s="32"/>
      <c r="E76" s="5"/>
      <c r="F76" s="34" t="s">
        <v>68</v>
      </c>
      <c r="G76" s="5"/>
      <c r="H76" s="5"/>
      <c r="I76" s="5"/>
      <c r="J76" s="34" t="s">
        <v>43</v>
      </c>
      <c r="K76" s="34"/>
      <c r="L76" s="5"/>
      <c r="M76" s="5"/>
      <c r="N76" s="30"/>
      <c r="O76" s="30"/>
      <c r="P76" s="30"/>
      <c r="Q76" s="30"/>
      <c r="R76" s="30"/>
      <c r="S76" s="30"/>
      <c r="T76" s="30"/>
      <c r="U76" s="242"/>
    </row>
    <row r="77" spans="1:21" x14ac:dyDescent="0.4">
      <c r="A77" s="53" t="s">
        <v>36</v>
      </c>
      <c r="B77" s="197" t="s">
        <v>56</v>
      </c>
      <c r="C77" s="197"/>
      <c r="D77" s="197" t="s">
        <v>55</v>
      </c>
      <c r="E77" s="197"/>
      <c r="F77" s="55"/>
      <c r="G77" s="55"/>
      <c r="H77" s="56" t="s">
        <v>69</v>
      </c>
      <c r="I77" s="53">
        <v>15</v>
      </c>
      <c r="J77" s="53">
        <v>10</v>
      </c>
      <c r="K77" s="55"/>
      <c r="L77" s="55"/>
      <c r="M77" s="30"/>
      <c r="N77" s="30"/>
      <c r="O77" s="30"/>
      <c r="P77" s="30"/>
      <c r="Q77" s="30"/>
      <c r="R77" s="30"/>
      <c r="S77" s="30"/>
      <c r="T77" s="30"/>
      <c r="U77" s="242"/>
    </row>
    <row r="78" spans="1:21" x14ac:dyDescent="0.4">
      <c r="A78" s="53">
        <v>1</v>
      </c>
      <c r="B78" s="197" t="s">
        <v>17</v>
      </c>
      <c r="C78" s="197"/>
      <c r="D78" s="197">
        <f>+D50</f>
        <v>153100</v>
      </c>
      <c r="E78" s="197"/>
      <c r="F78" s="55"/>
      <c r="G78" s="94">
        <f>+D78</f>
        <v>153100</v>
      </c>
      <c r="H78" s="55"/>
      <c r="I78" s="53">
        <f>+D78</f>
        <v>153100</v>
      </c>
      <c r="J78" s="53">
        <f>+D78</f>
        <v>153100</v>
      </c>
      <c r="K78" s="55"/>
      <c r="L78" s="55"/>
      <c r="M78" s="30"/>
      <c r="N78" s="30"/>
      <c r="O78" s="30"/>
      <c r="P78" s="30"/>
      <c r="Q78" s="30"/>
      <c r="R78" s="30"/>
      <c r="S78" s="30"/>
      <c r="T78" s="30"/>
      <c r="U78" s="242"/>
    </row>
    <row r="79" spans="1:21" x14ac:dyDescent="0.4">
      <c r="A79" s="53">
        <v>2</v>
      </c>
      <c r="B79" s="197" t="s">
        <v>37</v>
      </c>
      <c r="C79" s="197"/>
      <c r="D79" s="197">
        <f>+D78/2</f>
        <v>76550</v>
      </c>
      <c r="E79" s="197"/>
      <c r="F79" s="55"/>
      <c r="G79" s="53">
        <f>+G78/2</f>
        <v>76550</v>
      </c>
      <c r="H79" s="55"/>
      <c r="I79" s="53">
        <f>+G79*I77/20</f>
        <v>57412.5</v>
      </c>
      <c r="J79" s="53">
        <f>+G79*J77/20</f>
        <v>38275</v>
      </c>
      <c r="K79" s="55"/>
      <c r="L79" s="55"/>
      <c r="M79" s="30">
        <f>+D60</f>
        <v>18440875.199999999</v>
      </c>
      <c r="N79" s="30"/>
      <c r="O79" s="30"/>
      <c r="P79" s="30"/>
      <c r="Q79" s="30"/>
      <c r="R79" s="30"/>
      <c r="S79" s="30"/>
      <c r="T79" s="30"/>
      <c r="U79" s="242"/>
    </row>
    <row r="80" spans="1:21" x14ac:dyDescent="0.4">
      <c r="A80" s="53">
        <v>3</v>
      </c>
      <c r="B80" s="197" t="s">
        <v>19</v>
      </c>
      <c r="C80" s="197"/>
      <c r="D80" s="197">
        <f>ROUND(D79*D46,0)</f>
        <v>199030</v>
      </c>
      <c r="E80" s="197"/>
      <c r="F80" s="55"/>
      <c r="G80" s="53">
        <f>G79*D46</f>
        <v>199030.00000000015</v>
      </c>
      <c r="H80" s="55"/>
      <c r="I80" s="53">
        <f>ROUND(I79*D46,0)</f>
        <v>149273</v>
      </c>
      <c r="J80" s="53">
        <f>ROUND(J79*D46,0)</f>
        <v>99515</v>
      </c>
      <c r="K80" s="55"/>
      <c r="L80" s="55"/>
      <c r="M80" s="30">
        <f>+M79/240</f>
        <v>76836.98</v>
      </c>
      <c r="N80" s="30"/>
      <c r="O80" s="30"/>
      <c r="P80" s="30"/>
      <c r="Q80" s="30"/>
      <c r="R80" s="30"/>
      <c r="S80" s="30"/>
      <c r="T80" s="30"/>
      <c r="U80" s="242"/>
    </row>
    <row r="81" spans="1:21" x14ac:dyDescent="0.4">
      <c r="A81" s="53">
        <v>4</v>
      </c>
      <c r="B81" s="197" t="s">
        <v>116</v>
      </c>
      <c r="C81" s="197"/>
      <c r="D81" s="197">
        <f>+D79+D80</f>
        <v>275580</v>
      </c>
      <c r="E81" s="197"/>
      <c r="F81" s="55"/>
      <c r="G81" s="57">
        <f>+G79+G80</f>
        <v>275580.00000000012</v>
      </c>
      <c r="H81" s="55"/>
      <c r="I81" s="57">
        <f>+I79+I80</f>
        <v>206685.5</v>
      </c>
      <c r="J81" s="57">
        <f>+J79+J80</f>
        <v>137790</v>
      </c>
      <c r="K81" s="55"/>
      <c r="L81" s="55"/>
      <c r="M81" s="30"/>
      <c r="N81" s="30"/>
      <c r="O81" s="30"/>
      <c r="P81" s="30"/>
      <c r="Q81" s="30"/>
      <c r="R81" s="30"/>
      <c r="S81" s="30"/>
      <c r="T81" s="30"/>
      <c r="U81" s="242"/>
    </row>
    <row r="82" spans="1:21" x14ac:dyDescent="0.4">
      <c r="A82" s="216" t="s">
        <v>62</v>
      </c>
      <c r="B82" s="216"/>
      <c r="C82" s="216"/>
      <c r="D82" s="216"/>
      <c r="E82" s="216"/>
      <c r="F82" s="55"/>
      <c r="G82" s="55"/>
      <c r="H82" s="55"/>
      <c r="I82" s="54" t="s">
        <v>44</v>
      </c>
      <c r="J82" s="55"/>
      <c r="K82" s="55"/>
      <c r="L82" s="55"/>
      <c r="M82" s="30"/>
      <c r="N82" s="30"/>
      <c r="O82" s="30"/>
      <c r="P82" s="30"/>
      <c r="Q82" s="30"/>
      <c r="R82" s="30"/>
      <c r="S82" s="30"/>
      <c r="T82" s="30"/>
      <c r="U82" s="242"/>
    </row>
    <row r="83" spans="1:21" x14ac:dyDescent="0.4">
      <c r="A83" s="224" t="s">
        <v>74</v>
      </c>
      <c r="B83" s="224"/>
      <c r="C83" s="224"/>
      <c r="D83" s="197">
        <f>+ROUND(D78*30%,0)</f>
        <v>45930</v>
      </c>
      <c r="E83" s="197"/>
      <c r="F83" s="55"/>
      <c r="G83" s="55"/>
      <c r="H83" s="55"/>
      <c r="I83" s="55">
        <f>(7500*D46)+7500</f>
        <v>27000.000000000015</v>
      </c>
      <c r="J83" s="55"/>
      <c r="K83" s="55"/>
      <c r="L83" s="55"/>
      <c r="M83" s="30"/>
      <c r="N83" s="30"/>
      <c r="O83" s="30"/>
      <c r="P83" s="30"/>
      <c r="Q83" s="30"/>
      <c r="R83" s="30"/>
      <c r="S83" s="30"/>
      <c r="T83" s="30"/>
      <c r="U83" s="242"/>
    </row>
    <row r="84" spans="1:21" x14ac:dyDescent="0.4">
      <c r="A84" s="224" t="s">
        <v>19</v>
      </c>
      <c r="B84" s="224"/>
      <c r="C84" s="224"/>
      <c r="D84" s="197">
        <f>ROUND(D83*D46,0)</f>
        <v>119418</v>
      </c>
      <c r="E84" s="197"/>
      <c r="F84" s="55"/>
      <c r="G84" s="112">
        <f>+D62</f>
        <v>46102188</v>
      </c>
      <c r="H84" s="54" t="s">
        <v>82</v>
      </c>
      <c r="I84" s="55"/>
      <c r="J84" s="55"/>
      <c r="K84" s="55">
        <f>+K69</f>
        <v>2526150</v>
      </c>
      <c r="L84" s="50" t="s">
        <v>84</v>
      </c>
      <c r="M84" s="30"/>
      <c r="N84" s="30"/>
      <c r="O84" s="30"/>
      <c r="P84" s="30"/>
      <c r="Q84" s="30"/>
      <c r="R84" s="30"/>
      <c r="S84" s="30"/>
      <c r="T84" s="30"/>
      <c r="U84" s="242"/>
    </row>
    <row r="85" spans="1:21" x14ac:dyDescent="0.4">
      <c r="A85" s="224" t="s">
        <v>21</v>
      </c>
      <c r="B85" s="224"/>
      <c r="C85" s="224"/>
      <c r="D85" s="197">
        <f>+D83+D84</f>
        <v>165348</v>
      </c>
      <c r="E85" s="197"/>
      <c r="F85" s="55"/>
      <c r="G85" s="45" t="s">
        <v>113</v>
      </c>
      <c r="H85" s="50"/>
      <c r="I85" s="115">
        <f>+I71</f>
        <v>5511600.0000000019</v>
      </c>
      <c r="J85" s="55"/>
      <c r="K85" s="55"/>
      <c r="L85" s="55"/>
      <c r="M85" s="30"/>
      <c r="N85" s="30"/>
      <c r="O85" s="30"/>
      <c r="P85" s="30"/>
      <c r="Q85" s="30"/>
      <c r="R85" s="30"/>
      <c r="S85" s="30"/>
      <c r="T85" s="30"/>
      <c r="U85" s="242"/>
    </row>
    <row r="86" spans="1:21" x14ac:dyDescent="0.4">
      <c r="A86" s="31"/>
      <c r="B86" s="5"/>
      <c r="C86" s="5"/>
      <c r="D86" s="32"/>
      <c r="E86" s="5"/>
      <c r="F86" s="5"/>
      <c r="G86" s="5"/>
      <c r="H86" s="5"/>
      <c r="I86" s="5"/>
      <c r="J86" s="5"/>
      <c r="K86" s="5"/>
      <c r="L86" s="5"/>
      <c r="M86" s="5"/>
      <c r="N86" s="30"/>
      <c r="O86" s="30"/>
      <c r="P86" s="30"/>
      <c r="Q86" s="30"/>
      <c r="R86" s="30"/>
      <c r="S86" s="30"/>
      <c r="T86" s="30"/>
      <c r="U86" s="242"/>
    </row>
    <row r="87" spans="1:21" x14ac:dyDescent="0.4">
      <c r="A87" s="263" t="s">
        <v>42</v>
      </c>
      <c r="B87" s="264"/>
      <c r="C87" s="264"/>
      <c r="D87" s="264"/>
      <c r="E87" s="264"/>
      <c r="F87" s="264"/>
      <c r="G87" s="264"/>
      <c r="H87" s="264"/>
      <c r="I87" s="264"/>
      <c r="J87" s="264"/>
      <c r="K87" s="264"/>
      <c r="L87" s="264"/>
      <c r="M87" s="30"/>
      <c r="N87" s="30"/>
      <c r="O87" s="30"/>
      <c r="P87" s="30"/>
      <c r="Q87" s="30"/>
      <c r="R87" s="30"/>
      <c r="S87" s="30"/>
      <c r="T87" s="30"/>
    </row>
    <row r="88" spans="1:21" x14ac:dyDescent="0.4">
      <c r="A88" s="265" t="s">
        <v>75</v>
      </c>
      <c r="B88" s="265"/>
      <c r="C88" s="265"/>
      <c r="D88" s="265"/>
      <c r="E88" s="265"/>
      <c r="F88" s="265"/>
      <c r="G88" s="265"/>
      <c r="H88" s="265"/>
      <c r="I88" s="265"/>
      <c r="J88" s="265"/>
      <c r="K88" s="265"/>
      <c r="L88" s="265"/>
      <c r="M88" s="30"/>
      <c r="N88" s="30"/>
      <c r="O88" s="30"/>
      <c r="P88" s="30"/>
      <c r="Q88" s="30"/>
      <c r="R88" s="30"/>
      <c r="S88" s="30"/>
      <c r="T88" s="30"/>
    </row>
    <row r="89" spans="1:21" ht="41.25" customHeight="1" x14ac:dyDescent="0.4">
      <c r="A89" s="266" t="s">
        <v>45</v>
      </c>
      <c r="B89" s="267"/>
      <c r="C89" s="267"/>
      <c r="D89" s="268"/>
      <c r="E89" s="269" t="s">
        <v>79</v>
      </c>
      <c r="F89" s="270"/>
      <c r="G89" s="270"/>
      <c r="H89" s="267" t="s">
        <v>48</v>
      </c>
      <c r="I89" s="267"/>
      <c r="J89" s="102" t="s">
        <v>52</v>
      </c>
      <c r="K89" s="103" t="s">
        <v>53</v>
      </c>
      <c r="L89" s="104" t="s">
        <v>54</v>
      </c>
      <c r="M89" s="30"/>
      <c r="N89" s="30"/>
      <c r="O89" s="30"/>
      <c r="P89" s="30"/>
      <c r="Q89" s="30"/>
      <c r="R89" s="30"/>
      <c r="S89" s="30"/>
      <c r="T89" s="30"/>
    </row>
    <row r="90" spans="1:21" x14ac:dyDescent="0.4">
      <c r="A90" s="261" t="s">
        <v>76</v>
      </c>
      <c r="B90" s="262"/>
      <c r="C90" s="262"/>
      <c r="D90" s="271"/>
      <c r="E90" s="272" t="s">
        <v>78</v>
      </c>
      <c r="F90" s="273"/>
      <c r="G90" s="273"/>
      <c r="H90" s="95"/>
      <c r="I90" s="95"/>
      <c r="J90" s="107" t="str">
        <f>+H7</f>
        <v xml:space="preserve">33 Years, 3 Months, 29 Days </v>
      </c>
      <c r="K90" s="95"/>
      <c r="L90" s="97"/>
      <c r="M90" s="30"/>
      <c r="N90" s="30"/>
      <c r="O90" s="30"/>
      <c r="P90" s="30"/>
      <c r="Q90" s="30"/>
      <c r="R90" s="30"/>
      <c r="S90" s="30"/>
      <c r="T90" s="30"/>
    </row>
    <row r="91" spans="1:21" x14ac:dyDescent="0.4">
      <c r="A91" s="261" t="s">
        <v>17</v>
      </c>
      <c r="B91" s="262"/>
      <c r="C91" s="262"/>
      <c r="D91" s="97">
        <f>+D78</f>
        <v>153100</v>
      </c>
      <c r="E91" s="105" t="s">
        <v>70</v>
      </c>
      <c r="F91" s="95">
        <f>+D91</f>
        <v>153100</v>
      </c>
      <c r="G91" s="95"/>
      <c r="H91" s="95">
        <f>+D91</f>
        <v>153100</v>
      </c>
      <c r="I91" s="95"/>
      <c r="J91" s="95">
        <f>+D91</f>
        <v>153100</v>
      </c>
      <c r="K91" s="95">
        <f>+D91</f>
        <v>153100</v>
      </c>
      <c r="L91" s="97">
        <f>+F91</f>
        <v>153100</v>
      </c>
      <c r="M91" s="30"/>
      <c r="N91" s="30"/>
      <c r="O91" s="30"/>
      <c r="P91" s="30"/>
      <c r="Q91" s="30"/>
      <c r="R91" s="30"/>
      <c r="S91" s="30"/>
      <c r="T91" s="30"/>
    </row>
    <row r="92" spans="1:21" x14ac:dyDescent="0.4">
      <c r="A92" s="261" t="s">
        <v>37</v>
      </c>
      <c r="B92" s="262"/>
      <c r="C92" s="262"/>
      <c r="D92" s="97">
        <f>+D91/2</f>
        <v>76550</v>
      </c>
      <c r="E92" s="105" t="s">
        <v>71</v>
      </c>
      <c r="F92" s="95">
        <f>+DATEDIF(H5, H6, "m")</f>
        <v>399</v>
      </c>
      <c r="G92" s="95"/>
      <c r="H92" s="95">
        <f>+H91/2</f>
        <v>76550</v>
      </c>
      <c r="I92" s="95"/>
      <c r="J92" s="95">
        <f>J91/2</f>
        <v>76550</v>
      </c>
      <c r="K92" s="95">
        <f>K91/2</f>
        <v>76550</v>
      </c>
      <c r="L92" s="97">
        <f>(F92*2)/12</f>
        <v>66.5</v>
      </c>
      <c r="M92" s="30"/>
      <c r="N92" s="30"/>
      <c r="O92" s="30"/>
      <c r="P92" s="30"/>
      <c r="Q92" s="30"/>
      <c r="R92" s="30"/>
      <c r="S92" s="30"/>
      <c r="T92" s="30"/>
    </row>
    <row r="93" spans="1:21" x14ac:dyDescent="0.4">
      <c r="A93" s="261" t="s">
        <v>19</v>
      </c>
      <c r="B93" s="262"/>
      <c r="C93" s="262"/>
      <c r="D93" s="97">
        <f>ROUND(D92*D46,0)</f>
        <v>199030</v>
      </c>
      <c r="E93" s="98" t="s">
        <v>72</v>
      </c>
      <c r="F93" s="95">
        <f>ROUND(T46*36%,0)</f>
        <v>16596788</v>
      </c>
      <c r="G93" s="106" t="s">
        <v>49</v>
      </c>
      <c r="H93" s="95">
        <f>300/300</f>
        <v>1</v>
      </c>
      <c r="I93" s="95"/>
      <c r="J93" s="95">
        <f>IF(F92&gt;300,300/300,F92/300)</f>
        <v>1</v>
      </c>
      <c r="K93" s="95">
        <f>+IF(F92&gt;300,300/300,F92/300)</f>
        <v>1</v>
      </c>
      <c r="L93" s="97"/>
      <c r="M93" s="30"/>
      <c r="N93" s="30"/>
      <c r="O93" s="30"/>
      <c r="P93" s="30"/>
      <c r="Q93" s="30"/>
      <c r="R93" s="30"/>
      <c r="S93" s="30"/>
      <c r="T93" s="30"/>
    </row>
    <row r="94" spans="1:21" x14ac:dyDescent="0.4">
      <c r="A94" s="261" t="s">
        <v>18</v>
      </c>
      <c r="B94" s="262"/>
      <c r="C94" s="262"/>
      <c r="D94" s="97">
        <f>+D92+D93</f>
        <v>275580</v>
      </c>
      <c r="E94" s="98" t="s">
        <v>73</v>
      </c>
      <c r="F94" s="95">
        <f>+F93</f>
        <v>16596788</v>
      </c>
      <c r="G94" s="108" t="s">
        <v>77</v>
      </c>
      <c r="H94" s="95">
        <f>+F93/F94</f>
        <v>1</v>
      </c>
      <c r="I94" s="95"/>
      <c r="J94" s="95">
        <f>+F93/F94</f>
        <v>1</v>
      </c>
      <c r="K94" s="95">
        <f>3750000/F94</f>
        <v>0.22594733390581359</v>
      </c>
      <c r="L94" s="97"/>
      <c r="M94" s="30"/>
      <c r="N94" s="30"/>
      <c r="O94" s="30"/>
      <c r="P94" s="30"/>
      <c r="Q94" s="30"/>
      <c r="R94" s="30"/>
      <c r="S94" s="30"/>
      <c r="T94" s="30"/>
    </row>
    <row r="95" spans="1:21" x14ac:dyDescent="0.4">
      <c r="A95" s="98"/>
      <c r="B95" s="95"/>
      <c r="C95" s="95"/>
      <c r="D95" s="97"/>
      <c r="E95" s="98" t="s">
        <v>18</v>
      </c>
      <c r="F95" s="95"/>
      <c r="G95" s="95"/>
      <c r="H95" s="95">
        <f>ROUND((H91/2)*H93*H94,0)</f>
        <v>76550</v>
      </c>
      <c r="I95" s="95"/>
      <c r="J95" s="95">
        <f>+ROUND((J92)*J93*J94,0)</f>
        <v>76550</v>
      </c>
      <c r="K95" s="95">
        <f>ROUND((K92)*K93*K94,0)</f>
        <v>17296</v>
      </c>
      <c r="L95" s="97"/>
      <c r="M95" s="30"/>
      <c r="N95" s="30"/>
      <c r="O95" s="30"/>
      <c r="P95" s="30"/>
      <c r="Q95" s="30"/>
      <c r="R95" s="30"/>
      <c r="S95" s="30"/>
      <c r="T95" s="30"/>
    </row>
    <row r="96" spans="1:21" x14ac:dyDescent="0.4">
      <c r="A96" s="98"/>
      <c r="B96" s="95"/>
      <c r="C96" s="95"/>
      <c r="D96" s="97"/>
      <c r="E96" s="98" t="s">
        <v>50</v>
      </c>
      <c r="F96" s="95"/>
      <c r="G96" s="95"/>
      <c r="H96" s="95">
        <f>ROUND(H95*D46,0)</f>
        <v>199030</v>
      </c>
      <c r="I96" s="95"/>
      <c r="J96" s="95">
        <f>ROUND(J95*D46,0)</f>
        <v>199030</v>
      </c>
      <c r="K96" s="95">
        <f>ROUND(K95*D46,0)</f>
        <v>44970</v>
      </c>
      <c r="L96" s="97">
        <f>ROUND(L91*D46,0)</f>
        <v>398060</v>
      </c>
      <c r="M96" s="30"/>
      <c r="N96" s="30"/>
      <c r="O96" s="30"/>
      <c r="P96" s="30"/>
      <c r="Q96" s="30"/>
      <c r="R96" s="30"/>
      <c r="S96" s="30"/>
      <c r="T96" s="30"/>
    </row>
    <row r="97" spans="1:20" x14ac:dyDescent="0.4">
      <c r="A97" s="274" t="s">
        <v>74</v>
      </c>
      <c r="B97" s="275"/>
      <c r="C97" s="275"/>
      <c r="D97" s="97">
        <f>ROUND(D91*30%,0)</f>
        <v>45930</v>
      </c>
      <c r="E97" s="109" t="s">
        <v>51</v>
      </c>
      <c r="F97" s="95"/>
      <c r="G97" s="95"/>
      <c r="H97" s="95">
        <f>SUM(H95:H96)</f>
        <v>275580</v>
      </c>
      <c r="I97" s="95"/>
      <c r="J97" s="95">
        <f>SUM(J95:J96)</f>
        <v>275580</v>
      </c>
      <c r="K97" s="95">
        <f>SUM(K95:K96)</f>
        <v>62266</v>
      </c>
      <c r="L97" s="97">
        <f>ROUND((L96/10)*L92,0)</f>
        <v>2647099</v>
      </c>
      <c r="M97" s="30">
        <f>+K84</f>
        <v>2526150</v>
      </c>
      <c r="N97" s="30"/>
      <c r="O97" s="30"/>
      <c r="P97" s="30"/>
      <c r="Q97" s="30"/>
      <c r="R97" s="30"/>
      <c r="S97" s="30"/>
      <c r="T97" s="30"/>
    </row>
    <row r="98" spans="1:20" x14ac:dyDescent="0.4">
      <c r="A98" s="261" t="s">
        <v>47</v>
      </c>
      <c r="B98" s="262"/>
      <c r="C98" s="262"/>
      <c r="D98" s="97">
        <f>+ROUND(D97*D46,0)</f>
        <v>119418</v>
      </c>
      <c r="E98" s="98"/>
      <c r="F98" s="95"/>
      <c r="G98" s="95"/>
      <c r="H98" s="95"/>
      <c r="I98" s="95"/>
      <c r="J98" s="95"/>
      <c r="K98" s="95"/>
      <c r="L98" s="110" t="s">
        <v>80</v>
      </c>
      <c r="M98" s="30">
        <f>+M97-L97</f>
        <v>-120949</v>
      </c>
      <c r="N98" s="113" t="s">
        <v>85</v>
      </c>
      <c r="O98" s="30"/>
      <c r="P98" s="30"/>
      <c r="Q98" s="30"/>
      <c r="R98" s="30"/>
      <c r="S98" s="30"/>
      <c r="T98" s="30"/>
    </row>
    <row r="99" spans="1:20" x14ac:dyDescent="0.4">
      <c r="A99" s="98"/>
      <c r="B99" s="96"/>
      <c r="C99" s="96"/>
      <c r="D99" s="97">
        <f>+D97+D98</f>
        <v>165348</v>
      </c>
      <c r="E99" s="98"/>
      <c r="F99" s="112">
        <f>+G84</f>
        <v>46102188</v>
      </c>
      <c r="G99" s="107" t="s">
        <v>82</v>
      </c>
      <c r="H99" s="95"/>
      <c r="I99" s="95"/>
      <c r="J99" s="95" t="s">
        <v>83</v>
      </c>
      <c r="K99" s="95"/>
      <c r="L99" s="97"/>
      <c r="M99" s="30"/>
      <c r="N99" s="30"/>
      <c r="O99" s="30"/>
      <c r="P99" s="30"/>
      <c r="Q99" s="30"/>
      <c r="R99" s="30"/>
      <c r="S99" s="30"/>
      <c r="T99" s="30"/>
    </row>
    <row r="100" spans="1:20" x14ac:dyDescent="0.4">
      <c r="A100" s="99"/>
      <c r="B100" s="100" t="s">
        <v>46</v>
      </c>
      <c r="C100" s="100"/>
      <c r="D100" s="101"/>
      <c r="E100" s="99"/>
      <c r="F100" s="45" t="s">
        <v>113</v>
      </c>
      <c r="G100" s="50"/>
      <c r="H100" s="115">
        <f>+I85</f>
        <v>5511600.0000000019</v>
      </c>
      <c r="I100" s="100"/>
      <c r="J100" s="100"/>
      <c r="K100" s="100"/>
      <c r="L100" s="101"/>
      <c r="M100" s="30"/>
      <c r="N100" s="30"/>
      <c r="O100" s="30"/>
      <c r="P100" s="30"/>
      <c r="Q100" s="30"/>
      <c r="R100" s="30"/>
      <c r="S100" s="30"/>
      <c r="T100" s="30"/>
    </row>
  </sheetData>
  <mergeCells count="87">
    <mergeCell ref="A92:C92"/>
    <mergeCell ref="A93:C93"/>
    <mergeCell ref="A94:C94"/>
    <mergeCell ref="A97:C97"/>
    <mergeCell ref="A98:C98"/>
    <mergeCell ref="A91:C91"/>
    <mergeCell ref="A84:C84"/>
    <mergeCell ref="D84:E84"/>
    <mergeCell ref="A85:C85"/>
    <mergeCell ref="D85:E85"/>
    <mergeCell ref="A87:L87"/>
    <mergeCell ref="A88:L88"/>
    <mergeCell ref="A89:D89"/>
    <mergeCell ref="E89:G89"/>
    <mergeCell ref="H89:I89"/>
    <mergeCell ref="A90:D90"/>
    <mergeCell ref="E90:G90"/>
    <mergeCell ref="A83:C83"/>
    <mergeCell ref="D83:E83"/>
    <mergeCell ref="A75:L75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A82:E82"/>
    <mergeCell ref="A74:C74"/>
    <mergeCell ref="D74:E74"/>
    <mergeCell ref="B68:C68"/>
    <mergeCell ref="D68:E68"/>
    <mergeCell ref="B69:C69"/>
    <mergeCell ref="D69:E69"/>
    <mergeCell ref="B70:C70"/>
    <mergeCell ref="D70:E70"/>
    <mergeCell ref="A71:E71"/>
    <mergeCell ref="A72:C72"/>
    <mergeCell ref="D72:E72"/>
    <mergeCell ref="A73:C73"/>
    <mergeCell ref="D73:E73"/>
    <mergeCell ref="A60:C60"/>
    <mergeCell ref="D60:E60"/>
    <mergeCell ref="A62:C62"/>
    <mergeCell ref="D62:E62"/>
    <mergeCell ref="G62:J67"/>
    <mergeCell ref="A63:E63"/>
    <mergeCell ref="A64:E64"/>
    <mergeCell ref="B66:C66"/>
    <mergeCell ref="D66:E66"/>
    <mergeCell ref="B67:C67"/>
    <mergeCell ref="D67:E67"/>
    <mergeCell ref="B52:C52"/>
    <mergeCell ref="D52:E52"/>
    <mergeCell ref="B53:C53"/>
    <mergeCell ref="D53:E53"/>
    <mergeCell ref="A61:C61"/>
    <mergeCell ref="D61:E61"/>
    <mergeCell ref="A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L59"/>
    <mergeCell ref="U2:U86"/>
    <mergeCell ref="C3:D3"/>
    <mergeCell ref="H5:I5"/>
    <mergeCell ref="H6:I6"/>
    <mergeCell ref="C7:D7"/>
    <mergeCell ref="K8:L8"/>
    <mergeCell ref="D9:E9"/>
    <mergeCell ref="A47:M47"/>
    <mergeCell ref="A48:E48"/>
    <mergeCell ref="B49:C49"/>
    <mergeCell ref="D49:E49"/>
    <mergeCell ref="G49:J56"/>
    <mergeCell ref="B50:C50"/>
    <mergeCell ref="D50:E50"/>
    <mergeCell ref="B51:C51"/>
    <mergeCell ref="D51:E51"/>
  </mergeCells>
  <pageMargins left="0.31496062992125984" right="0.11811023622047245" top="0.15748031496062992" bottom="0.35433070866141736" header="0" footer="0"/>
  <pageSetup paperSize="9" orientation="landscape" r:id="rId1"/>
  <rowBreaks count="2" manualBreakCount="2">
    <brk id="46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As per 6 May 2026 GR</vt:lpstr>
      <vt:lpstr>ops nps rnps comparison</vt:lpstr>
      <vt:lpstr>8 th pay nps</vt:lpstr>
      <vt:lpstr>Sheet3</vt:lpstr>
      <vt:lpstr>Amol (2)</vt:lpstr>
      <vt:lpstr>Sheet2</vt:lpstr>
      <vt:lpstr>Amol</vt:lpstr>
      <vt:lpstr>kishor</vt:lpstr>
      <vt:lpstr>Surek</vt:lpstr>
      <vt:lpstr>Sahare</vt:lpstr>
      <vt:lpstr>Amol!Print_Area</vt:lpstr>
      <vt:lpstr>'Amol (2)'!Print_Area</vt:lpstr>
      <vt:lpstr>'As per 6 May 2026 GR'!Print_Area</vt:lpstr>
      <vt:lpstr>kishor!Print_Area</vt:lpstr>
      <vt:lpstr>Sahare!Print_Area</vt:lpstr>
      <vt:lpstr>Surek!Print_Area</vt:lpstr>
      <vt:lpstr>'As per 6 May 2026 GR'!Print_Titles</vt:lpstr>
      <vt:lpstr>Sheet2!Print_Titles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 Puri Shaskiya Karmachri Sevaarth</dc:creator>
  <cp:lastModifiedBy>Pramod Puri</cp:lastModifiedBy>
  <cp:lastPrinted>2025-03-07T06:13:43Z</cp:lastPrinted>
  <dcterms:created xsi:type="dcterms:W3CDTF">2022-02-24T05:36:31Z</dcterms:created>
  <dcterms:modified xsi:type="dcterms:W3CDTF">2026-07-26T04:05:48Z</dcterms:modified>
</cp:coreProperties>
</file>