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C3545D9B-BB72-4CBB-817A-E63673D5918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7th_Pay_NPS_RNPS" sheetId="1" r:id="rId1"/>
    <sheet name="8th_Pay_NPS_RNPS" sheetId="2" r:id="rId2"/>
    <sheet name="OPS_NPS_RNPS_UPS_तुलना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1" i="2" l="1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24" i="2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23" i="2"/>
  <c r="D22" i="2"/>
  <c r="C23" i="2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25" i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24" i="1"/>
  <c r="G16" i="1"/>
  <c r="G17" i="1" s="1"/>
  <c r="C63" i="2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C82" i="2" s="1"/>
  <c r="F13" i="2"/>
  <c r="F11" i="2"/>
  <c r="F9" i="2"/>
  <c r="F6" i="2"/>
  <c r="F5" i="2"/>
  <c r="C64" i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G10" i="1"/>
  <c r="A53" i="2" l="1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4" i="2"/>
  <c r="A23" i="2"/>
  <c r="A22" i="2"/>
  <c r="A28" i="2"/>
  <c r="A27" i="2"/>
  <c r="A26" i="2"/>
  <c r="A25" i="2"/>
  <c r="F7" i="2"/>
  <c r="A57" i="1"/>
  <c r="A56" i="1"/>
  <c r="A55" i="1"/>
  <c r="O5" i="1"/>
  <c r="M5" i="2"/>
  <c r="B64" i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A54" i="1"/>
  <c r="A53" i="1"/>
  <c r="A52" i="1"/>
  <c r="A51" i="1"/>
  <c r="A50" i="1"/>
  <c r="A49" i="1"/>
  <c r="A48" i="1"/>
  <c r="A47" i="1"/>
  <c r="G12" i="1"/>
  <c r="G11" i="1"/>
  <c r="F8" i="2" s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D23" i="1" s="1"/>
  <c r="B63" i="2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A56" i="2"/>
  <c r="A55" i="2"/>
  <c r="A54" i="2"/>
  <c r="B53" i="2" l="1"/>
  <c r="C53" i="2"/>
  <c r="E53" i="2"/>
  <c r="F53" i="2"/>
  <c r="G53" i="2"/>
  <c r="H53" i="2"/>
  <c r="I53" i="2"/>
  <c r="J53" i="2"/>
  <c r="K53" i="2"/>
  <c r="L53" i="2"/>
  <c r="M53" i="2"/>
  <c r="N53" i="2"/>
  <c r="O53" i="2"/>
  <c r="P53" i="2"/>
  <c r="B52" i="2"/>
  <c r="C52" i="2"/>
  <c r="E52" i="2"/>
  <c r="F52" i="2"/>
  <c r="G52" i="2"/>
  <c r="H52" i="2"/>
  <c r="I52" i="2"/>
  <c r="J52" i="2"/>
  <c r="K52" i="2"/>
  <c r="L52" i="2"/>
  <c r="M52" i="2"/>
  <c r="N52" i="2"/>
  <c r="O52" i="2"/>
  <c r="P52" i="2"/>
  <c r="B51" i="2"/>
  <c r="C51" i="2"/>
  <c r="E51" i="2"/>
  <c r="F51" i="2"/>
  <c r="G51" i="2"/>
  <c r="H51" i="2"/>
  <c r="I51" i="2"/>
  <c r="J51" i="2"/>
  <c r="K51" i="2"/>
  <c r="L51" i="2"/>
  <c r="M51" i="2"/>
  <c r="N51" i="2"/>
  <c r="O51" i="2"/>
  <c r="P51" i="2"/>
  <c r="B50" i="2"/>
  <c r="C50" i="2"/>
  <c r="E50" i="2"/>
  <c r="F50" i="2"/>
  <c r="G50" i="2"/>
  <c r="H50" i="2"/>
  <c r="I50" i="2"/>
  <c r="J50" i="2"/>
  <c r="K50" i="2"/>
  <c r="L50" i="2"/>
  <c r="M50" i="2"/>
  <c r="N50" i="2"/>
  <c r="O50" i="2"/>
  <c r="P50" i="2"/>
  <c r="B49" i="2"/>
  <c r="C49" i="2"/>
  <c r="E49" i="2"/>
  <c r="F49" i="2"/>
  <c r="G49" i="2"/>
  <c r="H49" i="2"/>
  <c r="I49" i="2"/>
  <c r="J49" i="2"/>
  <c r="K49" i="2"/>
  <c r="L49" i="2"/>
  <c r="M49" i="2"/>
  <c r="N49" i="2"/>
  <c r="O49" i="2"/>
  <c r="P49" i="2"/>
  <c r="B48" i="2"/>
  <c r="C48" i="2"/>
  <c r="E48" i="2"/>
  <c r="F48" i="2"/>
  <c r="G48" i="2"/>
  <c r="H48" i="2"/>
  <c r="I48" i="2"/>
  <c r="J48" i="2"/>
  <c r="K48" i="2"/>
  <c r="L48" i="2"/>
  <c r="M48" i="2"/>
  <c r="N48" i="2"/>
  <c r="O48" i="2"/>
  <c r="P48" i="2"/>
  <c r="B47" i="2"/>
  <c r="C47" i="2"/>
  <c r="E47" i="2"/>
  <c r="F47" i="2"/>
  <c r="G47" i="2"/>
  <c r="H47" i="2"/>
  <c r="I47" i="2"/>
  <c r="J47" i="2"/>
  <c r="K47" i="2"/>
  <c r="L47" i="2"/>
  <c r="M47" i="2"/>
  <c r="N47" i="2"/>
  <c r="O47" i="2"/>
  <c r="P47" i="2"/>
  <c r="B46" i="2"/>
  <c r="C46" i="2"/>
  <c r="E46" i="2"/>
  <c r="F46" i="2"/>
  <c r="G46" i="2"/>
  <c r="H46" i="2"/>
  <c r="I46" i="2"/>
  <c r="J46" i="2"/>
  <c r="K46" i="2"/>
  <c r="L46" i="2"/>
  <c r="M46" i="2"/>
  <c r="N46" i="2"/>
  <c r="O46" i="2"/>
  <c r="P46" i="2"/>
  <c r="B45" i="2"/>
  <c r="C45" i="2"/>
  <c r="E45" i="2"/>
  <c r="F45" i="2"/>
  <c r="G45" i="2"/>
  <c r="H45" i="2"/>
  <c r="I45" i="2"/>
  <c r="J45" i="2"/>
  <c r="K45" i="2"/>
  <c r="L45" i="2"/>
  <c r="M45" i="2"/>
  <c r="N45" i="2"/>
  <c r="O45" i="2"/>
  <c r="P45" i="2"/>
  <c r="B44" i="2"/>
  <c r="C44" i="2"/>
  <c r="E44" i="2"/>
  <c r="F44" i="2"/>
  <c r="G44" i="2"/>
  <c r="H44" i="2"/>
  <c r="I44" i="2"/>
  <c r="J44" i="2"/>
  <c r="K44" i="2"/>
  <c r="L44" i="2"/>
  <c r="M44" i="2"/>
  <c r="N44" i="2"/>
  <c r="O44" i="2"/>
  <c r="P44" i="2"/>
  <c r="B43" i="2"/>
  <c r="C43" i="2"/>
  <c r="E43" i="2"/>
  <c r="F43" i="2"/>
  <c r="G43" i="2"/>
  <c r="H43" i="2"/>
  <c r="I43" i="2"/>
  <c r="J43" i="2"/>
  <c r="K43" i="2"/>
  <c r="L43" i="2"/>
  <c r="M43" i="2"/>
  <c r="N43" i="2"/>
  <c r="O43" i="2"/>
  <c r="P43" i="2"/>
  <c r="B42" i="2"/>
  <c r="C42" i="2"/>
  <c r="E42" i="2"/>
  <c r="F42" i="2"/>
  <c r="G42" i="2"/>
  <c r="H42" i="2"/>
  <c r="I42" i="2"/>
  <c r="J42" i="2"/>
  <c r="K42" i="2"/>
  <c r="L42" i="2"/>
  <c r="M42" i="2"/>
  <c r="N42" i="2"/>
  <c r="O42" i="2"/>
  <c r="P42" i="2"/>
  <c r="B41" i="2"/>
  <c r="C41" i="2"/>
  <c r="E41" i="2"/>
  <c r="F41" i="2"/>
  <c r="G41" i="2"/>
  <c r="H41" i="2"/>
  <c r="I41" i="2"/>
  <c r="J41" i="2"/>
  <c r="K41" i="2"/>
  <c r="L41" i="2"/>
  <c r="M41" i="2"/>
  <c r="N41" i="2"/>
  <c r="O41" i="2"/>
  <c r="P41" i="2"/>
  <c r="B40" i="2"/>
  <c r="C40" i="2"/>
  <c r="E40" i="2"/>
  <c r="F40" i="2"/>
  <c r="G40" i="2"/>
  <c r="H40" i="2"/>
  <c r="I40" i="2"/>
  <c r="J40" i="2"/>
  <c r="K40" i="2"/>
  <c r="L40" i="2"/>
  <c r="M40" i="2"/>
  <c r="N40" i="2"/>
  <c r="O40" i="2"/>
  <c r="P40" i="2"/>
  <c r="B39" i="2"/>
  <c r="C39" i="2"/>
  <c r="E39" i="2"/>
  <c r="F39" i="2"/>
  <c r="G39" i="2"/>
  <c r="H39" i="2"/>
  <c r="I39" i="2"/>
  <c r="J39" i="2"/>
  <c r="K39" i="2"/>
  <c r="L39" i="2"/>
  <c r="M39" i="2"/>
  <c r="N39" i="2"/>
  <c r="O39" i="2"/>
  <c r="P39" i="2"/>
  <c r="B38" i="2"/>
  <c r="C38" i="2"/>
  <c r="E38" i="2"/>
  <c r="F38" i="2"/>
  <c r="G38" i="2"/>
  <c r="H38" i="2"/>
  <c r="I38" i="2"/>
  <c r="J38" i="2"/>
  <c r="K38" i="2"/>
  <c r="L38" i="2"/>
  <c r="M38" i="2"/>
  <c r="N38" i="2"/>
  <c r="O38" i="2"/>
  <c r="P38" i="2"/>
  <c r="B37" i="2"/>
  <c r="C37" i="2"/>
  <c r="E37" i="2"/>
  <c r="F37" i="2"/>
  <c r="G37" i="2"/>
  <c r="H37" i="2"/>
  <c r="I37" i="2"/>
  <c r="J37" i="2"/>
  <c r="K37" i="2"/>
  <c r="L37" i="2"/>
  <c r="M37" i="2"/>
  <c r="N37" i="2"/>
  <c r="O37" i="2"/>
  <c r="P37" i="2"/>
  <c r="B36" i="2"/>
  <c r="C36" i="2"/>
  <c r="E36" i="2"/>
  <c r="F36" i="2"/>
  <c r="G36" i="2"/>
  <c r="H36" i="2"/>
  <c r="I36" i="2"/>
  <c r="J36" i="2"/>
  <c r="K36" i="2"/>
  <c r="L36" i="2"/>
  <c r="M36" i="2"/>
  <c r="N36" i="2"/>
  <c r="O36" i="2"/>
  <c r="P36" i="2"/>
  <c r="B35" i="2"/>
  <c r="J35" i="2" s="1"/>
  <c r="B34" i="2"/>
  <c r="J34" i="2" s="1"/>
  <c r="B33" i="2"/>
  <c r="J33" i="2" s="1"/>
  <c r="B32" i="2"/>
  <c r="J32" i="2" s="1"/>
  <c r="B31" i="2"/>
  <c r="J31" i="2"/>
  <c r="B30" i="2"/>
  <c r="J30" i="2" s="1"/>
  <c r="B29" i="2"/>
  <c r="J29" i="2" s="1"/>
  <c r="B24" i="2"/>
  <c r="J24" i="2" s="1"/>
  <c r="B23" i="2"/>
  <c r="J23" i="2" s="1"/>
  <c r="B22" i="2"/>
  <c r="J22" i="2" s="1"/>
  <c r="C22" i="2"/>
  <c r="B28" i="2"/>
  <c r="J28" i="2" s="1"/>
  <c r="B27" i="2"/>
  <c r="J27" i="2"/>
  <c r="B26" i="2"/>
  <c r="J26" i="2"/>
  <c r="B25" i="2"/>
  <c r="J25" i="2" s="1"/>
  <c r="B57" i="1"/>
  <c r="C57" i="1"/>
  <c r="E57" i="1"/>
  <c r="F57" i="1"/>
  <c r="G57" i="1"/>
  <c r="H57" i="1"/>
  <c r="I57" i="1"/>
  <c r="J57" i="1"/>
  <c r="K57" i="1"/>
  <c r="L57" i="1"/>
  <c r="M57" i="1"/>
  <c r="N57" i="1"/>
  <c r="O57" i="1"/>
  <c r="P57" i="1"/>
  <c r="B56" i="1"/>
  <c r="C56" i="1"/>
  <c r="E56" i="1"/>
  <c r="F56" i="1"/>
  <c r="G56" i="1"/>
  <c r="H56" i="1"/>
  <c r="I56" i="1"/>
  <c r="J56" i="1"/>
  <c r="K56" i="1"/>
  <c r="L56" i="1"/>
  <c r="M56" i="1"/>
  <c r="N56" i="1"/>
  <c r="O56" i="1"/>
  <c r="P56" i="1"/>
  <c r="B55" i="1"/>
  <c r="C55" i="1"/>
  <c r="E55" i="1"/>
  <c r="F55" i="1"/>
  <c r="G55" i="1"/>
  <c r="H55" i="1"/>
  <c r="I55" i="1"/>
  <c r="J55" i="1"/>
  <c r="K55" i="1"/>
  <c r="L55" i="1"/>
  <c r="M55" i="1"/>
  <c r="N55" i="1"/>
  <c r="O55" i="1"/>
  <c r="P55" i="1"/>
  <c r="B54" i="1"/>
  <c r="C54" i="1"/>
  <c r="E54" i="1"/>
  <c r="F54" i="1"/>
  <c r="G54" i="1"/>
  <c r="H54" i="1"/>
  <c r="I54" i="1"/>
  <c r="J54" i="1"/>
  <c r="K54" i="1"/>
  <c r="L54" i="1"/>
  <c r="M54" i="1"/>
  <c r="N54" i="1"/>
  <c r="O54" i="1"/>
  <c r="P54" i="1"/>
  <c r="B53" i="1"/>
  <c r="C53" i="1"/>
  <c r="E53" i="1"/>
  <c r="F53" i="1"/>
  <c r="G53" i="1"/>
  <c r="H53" i="1"/>
  <c r="I53" i="1"/>
  <c r="J53" i="1"/>
  <c r="K53" i="1"/>
  <c r="L53" i="1"/>
  <c r="M53" i="1"/>
  <c r="N53" i="1"/>
  <c r="O53" i="1"/>
  <c r="P53" i="1"/>
  <c r="B52" i="1"/>
  <c r="C52" i="1"/>
  <c r="E52" i="1"/>
  <c r="F52" i="1"/>
  <c r="G52" i="1"/>
  <c r="H52" i="1"/>
  <c r="I52" i="1"/>
  <c r="J52" i="1"/>
  <c r="K52" i="1"/>
  <c r="L52" i="1"/>
  <c r="M52" i="1"/>
  <c r="N52" i="1"/>
  <c r="O52" i="1"/>
  <c r="P52" i="1"/>
  <c r="B51" i="1"/>
  <c r="C51" i="1"/>
  <c r="E51" i="1"/>
  <c r="F51" i="1"/>
  <c r="G51" i="1"/>
  <c r="H51" i="1"/>
  <c r="I51" i="1"/>
  <c r="J51" i="1"/>
  <c r="K51" i="1"/>
  <c r="L51" i="1"/>
  <c r="M51" i="1"/>
  <c r="N51" i="1"/>
  <c r="O51" i="1"/>
  <c r="P51" i="1"/>
  <c r="B50" i="1"/>
  <c r="C50" i="1"/>
  <c r="E50" i="1"/>
  <c r="F50" i="1"/>
  <c r="G50" i="1"/>
  <c r="H50" i="1"/>
  <c r="I50" i="1"/>
  <c r="J50" i="1"/>
  <c r="K50" i="1"/>
  <c r="L50" i="1"/>
  <c r="M50" i="1"/>
  <c r="N50" i="1"/>
  <c r="O50" i="1"/>
  <c r="P50" i="1"/>
  <c r="B49" i="1"/>
  <c r="C49" i="1"/>
  <c r="E49" i="1"/>
  <c r="F49" i="1"/>
  <c r="G49" i="1"/>
  <c r="H49" i="1"/>
  <c r="I49" i="1"/>
  <c r="J49" i="1"/>
  <c r="K49" i="1"/>
  <c r="L49" i="1"/>
  <c r="M49" i="1"/>
  <c r="N49" i="1"/>
  <c r="O49" i="1"/>
  <c r="P49" i="1"/>
  <c r="B48" i="1"/>
  <c r="C48" i="1"/>
  <c r="E48" i="1"/>
  <c r="F48" i="1"/>
  <c r="G48" i="1"/>
  <c r="H48" i="1"/>
  <c r="I48" i="1"/>
  <c r="J48" i="1"/>
  <c r="K48" i="1"/>
  <c r="L48" i="1"/>
  <c r="M48" i="1"/>
  <c r="N48" i="1"/>
  <c r="O48" i="1"/>
  <c r="P48" i="1"/>
  <c r="B47" i="1"/>
  <c r="C47" i="1"/>
  <c r="E47" i="1"/>
  <c r="F47" i="1"/>
  <c r="G47" i="1"/>
  <c r="H47" i="1"/>
  <c r="I47" i="1"/>
  <c r="J47" i="1"/>
  <c r="K47" i="1"/>
  <c r="L47" i="1"/>
  <c r="M47" i="1"/>
  <c r="N47" i="1"/>
  <c r="O47" i="1"/>
  <c r="P47" i="1"/>
  <c r="B46" i="1"/>
  <c r="C46" i="1"/>
  <c r="E46" i="1"/>
  <c r="F46" i="1"/>
  <c r="G46" i="1"/>
  <c r="H46" i="1"/>
  <c r="I46" i="1"/>
  <c r="J46" i="1"/>
  <c r="K46" i="1"/>
  <c r="L46" i="1"/>
  <c r="M46" i="1"/>
  <c r="N46" i="1"/>
  <c r="O46" i="1"/>
  <c r="P46" i="1"/>
  <c r="B45" i="1"/>
  <c r="C45" i="1"/>
  <c r="E45" i="1"/>
  <c r="F45" i="1"/>
  <c r="G45" i="1"/>
  <c r="H45" i="1"/>
  <c r="I45" i="1"/>
  <c r="J45" i="1"/>
  <c r="K45" i="1"/>
  <c r="L45" i="1"/>
  <c r="M45" i="1"/>
  <c r="N45" i="1"/>
  <c r="O45" i="1"/>
  <c r="P45" i="1"/>
  <c r="B44" i="1"/>
  <c r="C44" i="1"/>
  <c r="E44" i="1"/>
  <c r="F44" i="1"/>
  <c r="G44" i="1"/>
  <c r="H44" i="1"/>
  <c r="I44" i="1"/>
  <c r="J44" i="1"/>
  <c r="K44" i="1"/>
  <c r="L44" i="1"/>
  <c r="M44" i="1"/>
  <c r="N44" i="1"/>
  <c r="O44" i="1"/>
  <c r="P44" i="1"/>
  <c r="B43" i="1"/>
  <c r="C43" i="1"/>
  <c r="E43" i="1"/>
  <c r="F43" i="1"/>
  <c r="G43" i="1"/>
  <c r="H43" i="1"/>
  <c r="I43" i="1"/>
  <c r="J43" i="1"/>
  <c r="K43" i="1"/>
  <c r="L43" i="1"/>
  <c r="M43" i="1"/>
  <c r="N43" i="1"/>
  <c r="O43" i="1"/>
  <c r="P43" i="1"/>
  <c r="B42" i="1"/>
  <c r="C42" i="1"/>
  <c r="E42" i="1"/>
  <c r="F42" i="1"/>
  <c r="G42" i="1"/>
  <c r="H42" i="1"/>
  <c r="I42" i="1"/>
  <c r="J42" i="1"/>
  <c r="K42" i="1"/>
  <c r="L42" i="1"/>
  <c r="M42" i="1"/>
  <c r="N42" i="1"/>
  <c r="O42" i="1"/>
  <c r="P42" i="1"/>
  <c r="B41" i="1"/>
  <c r="C41" i="1"/>
  <c r="E41" i="1"/>
  <c r="F41" i="1"/>
  <c r="G41" i="1"/>
  <c r="H41" i="1"/>
  <c r="I41" i="1"/>
  <c r="J41" i="1"/>
  <c r="K41" i="1"/>
  <c r="L41" i="1"/>
  <c r="M41" i="1"/>
  <c r="N41" i="1"/>
  <c r="O41" i="1"/>
  <c r="P41" i="1"/>
  <c r="B40" i="1"/>
  <c r="C40" i="1"/>
  <c r="E40" i="1"/>
  <c r="F40" i="1"/>
  <c r="G40" i="1"/>
  <c r="H40" i="1"/>
  <c r="I40" i="1"/>
  <c r="J40" i="1"/>
  <c r="K40" i="1"/>
  <c r="L40" i="1"/>
  <c r="M40" i="1"/>
  <c r="N40" i="1"/>
  <c r="O40" i="1"/>
  <c r="P40" i="1"/>
  <c r="B39" i="1"/>
  <c r="C39" i="1"/>
  <c r="E39" i="1"/>
  <c r="F39" i="1"/>
  <c r="G39" i="1"/>
  <c r="H39" i="1"/>
  <c r="I39" i="1"/>
  <c r="J39" i="1"/>
  <c r="K39" i="1"/>
  <c r="L39" i="1"/>
  <c r="M39" i="1"/>
  <c r="N39" i="1"/>
  <c r="O39" i="1"/>
  <c r="P39" i="1"/>
  <c r="B38" i="1"/>
  <c r="C38" i="1"/>
  <c r="E38" i="1"/>
  <c r="F38" i="1"/>
  <c r="G38" i="1"/>
  <c r="H38" i="1"/>
  <c r="I38" i="1"/>
  <c r="J38" i="1"/>
  <c r="K38" i="1"/>
  <c r="L38" i="1"/>
  <c r="M38" i="1"/>
  <c r="N38" i="1"/>
  <c r="O38" i="1"/>
  <c r="P38" i="1"/>
  <c r="B37" i="1"/>
  <c r="C37" i="1"/>
  <c r="E37" i="1"/>
  <c r="F37" i="1"/>
  <c r="G37" i="1"/>
  <c r="H37" i="1"/>
  <c r="I37" i="1"/>
  <c r="J37" i="1"/>
  <c r="K37" i="1"/>
  <c r="L37" i="1"/>
  <c r="M37" i="1"/>
  <c r="N37" i="1"/>
  <c r="O37" i="1"/>
  <c r="P37" i="1"/>
  <c r="B36" i="1"/>
  <c r="J36" i="1" s="1"/>
  <c r="B35" i="1"/>
  <c r="J35" i="1" s="1"/>
  <c r="B34" i="1"/>
  <c r="J34" i="1"/>
  <c r="B33" i="1"/>
  <c r="J33" i="1"/>
  <c r="B32" i="1"/>
  <c r="J32" i="1"/>
  <c r="B31" i="1"/>
  <c r="J31" i="1"/>
  <c r="B30" i="1"/>
  <c r="J30" i="1" s="1"/>
  <c r="B29" i="1"/>
  <c r="J29" i="1"/>
  <c r="B28" i="1"/>
  <c r="J28" i="1"/>
  <c r="B27" i="1"/>
  <c r="J27" i="1"/>
  <c r="B26" i="1"/>
  <c r="J26" i="1"/>
  <c r="B25" i="1"/>
  <c r="J25" i="1" s="1"/>
  <c r="B24" i="1"/>
  <c r="J24" i="1" s="1"/>
  <c r="C23" i="1"/>
  <c r="C24" i="1" s="1"/>
  <c r="B23" i="1"/>
  <c r="J23" i="1"/>
  <c r="B56" i="2"/>
  <c r="C56" i="2"/>
  <c r="E56" i="2"/>
  <c r="F56" i="2"/>
  <c r="G56" i="2"/>
  <c r="H56" i="2"/>
  <c r="I56" i="2"/>
  <c r="J56" i="2"/>
  <c r="K56" i="2"/>
  <c r="L56" i="2"/>
  <c r="M56" i="2"/>
  <c r="N56" i="2"/>
  <c r="O56" i="2"/>
  <c r="P56" i="2"/>
  <c r="B55" i="2"/>
  <c r="C55" i="2"/>
  <c r="E55" i="2"/>
  <c r="F55" i="2"/>
  <c r="G55" i="2"/>
  <c r="H55" i="2"/>
  <c r="I55" i="2"/>
  <c r="J55" i="2"/>
  <c r="K55" i="2"/>
  <c r="L55" i="2"/>
  <c r="M55" i="2"/>
  <c r="N55" i="2"/>
  <c r="O55" i="2"/>
  <c r="P55" i="2"/>
  <c r="B54" i="2"/>
  <c r="C54" i="2"/>
  <c r="E54" i="2"/>
  <c r="F54" i="2"/>
  <c r="G54" i="2"/>
  <c r="H54" i="2"/>
  <c r="I54" i="2"/>
  <c r="J54" i="2"/>
  <c r="K54" i="2"/>
  <c r="L54" i="2"/>
  <c r="M54" i="2"/>
  <c r="N54" i="2"/>
  <c r="O54" i="2"/>
  <c r="P54" i="2"/>
  <c r="O7" i="1" l="1" a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23" i="1"/>
  <c r="F23" i="1" s="1"/>
  <c r="E22" i="2"/>
  <c r="F22" i="2" s="1"/>
  <c r="M7" i="2"/>
  <c r="E63" i="2" s="1"/>
  <c r="E64" i="2" s="1"/>
  <c r="E65" i="2" s="1"/>
  <c r="E66" i="2" s="1"/>
  <c r="E6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C25" i="1" l="1"/>
  <c r="E24" i="1"/>
  <c r="F24" i="1" s="1"/>
  <c r="H23" i="1"/>
  <c r="G23" i="1"/>
  <c r="K23" i="1" s="1"/>
  <c r="C24" i="2"/>
  <c r="E23" i="2"/>
  <c r="F23" i="2" s="1"/>
  <c r="H22" i="2"/>
  <c r="L22" i="2" s="1"/>
  <c r="G22" i="2"/>
  <c r="G24" i="1" l="1"/>
  <c r="K24" i="1" s="1"/>
  <c r="H24" i="1"/>
  <c r="C26" i="1"/>
  <c r="E25" i="1"/>
  <c r="F25" i="1" s="1"/>
  <c r="L23" i="1"/>
  <c r="M23" i="1" s="1"/>
  <c r="I23" i="1"/>
  <c r="C25" i="2"/>
  <c r="E24" i="2"/>
  <c r="F24" i="2" s="1"/>
  <c r="G23" i="2"/>
  <c r="H23" i="2"/>
  <c r="L23" i="2" s="1"/>
  <c r="K22" i="2"/>
  <c r="I22" i="2"/>
  <c r="P23" i="1"/>
  <c r="L24" i="1" l="1"/>
  <c r="M24" i="1" s="1"/>
  <c r="I24" i="1"/>
  <c r="C27" i="1"/>
  <c r="E26" i="1"/>
  <c r="F26" i="1" s="1"/>
  <c r="H25" i="1"/>
  <c r="L25" i="1" s="1"/>
  <c r="G25" i="1"/>
  <c r="C26" i="2"/>
  <c r="E25" i="2"/>
  <c r="F25" i="2" s="1"/>
  <c r="G24" i="2"/>
  <c r="H24" i="2"/>
  <c r="L24" i="2" s="1"/>
  <c r="K23" i="2"/>
  <c r="M23" i="2" s="1"/>
  <c r="I23" i="2"/>
  <c r="M22" i="2"/>
  <c r="N22" i="2" s="1"/>
  <c r="O22" i="2" s="1"/>
  <c r="P22" i="2"/>
  <c r="P24" i="1"/>
  <c r="N23" i="1"/>
  <c r="O23" i="1" s="1"/>
  <c r="K25" i="1" l="1"/>
  <c r="I25" i="1"/>
  <c r="C28" i="1"/>
  <c r="E27" i="1"/>
  <c r="F27" i="1" s="1"/>
  <c r="H26" i="1"/>
  <c r="G26" i="1"/>
  <c r="K26" i="1" s="1"/>
  <c r="P23" i="2"/>
  <c r="C27" i="2"/>
  <c r="E26" i="2"/>
  <c r="F26" i="2" s="1"/>
  <c r="H25" i="2"/>
  <c r="L25" i="2" s="1"/>
  <c r="G25" i="2"/>
  <c r="I24" i="2"/>
  <c r="K24" i="2"/>
  <c r="N23" i="2"/>
  <c r="O23" i="2" s="1"/>
  <c r="N24" i="1"/>
  <c r="O24" i="1" s="1"/>
  <c r="C29" i="1" l="1"/>
  <c r="E28" i="1"/>
  <c r="F28" i="1" s="1"/>
  <c r="P25" i="1"/>
  <c r="P26" i="1" s="1"/>
  <c r="M25" i="1"/>
  <c r="N25" i="1" s="1"/>
  <c r="O25" i="1" s="1"/>
  <c r="G27" i="1"/>
  <c r="H27" i="1"/>
  <c r="L27" i="1" s="1"/>
  <c r="L26" i="1"/>
  <c r="M26" i="1" s="1"/>
  <c r="I26" i="1"/>
  <c r="C28" i="2"/>
  <c r="E27" i="2"/>
  <c r="F27" i="2" s="1"/>
  <c r="H26" i="2"/>
  <c r="L26" i="2" s="1"/>
  <c r="G26" i="2"/>
  <c r="K25" i="2"/>
  <c r="M25" i="2" s="1"/>
  <c r="I25" i="2"/>
  <c r="P24" i="2"/>
  <c r="M24" i="2"/>
  <c r="N24" i="2" s="1"/>
  <c r="O24" i="2" s="1"/>
  <c r="C30" i="1" l="1"/>
  <c r="E29" i="1"/>
  <c r="F29" i="1" s="1"/>
  <c r="H28" i="1"/>
  <c r="L28" i="1" s="1"/>
  <c r="G28" i="1"/>
  <c r="K27" i="1"/>
  <c r="I27" i="1"/>
  <c r="I26" i="2"/>
  <c r="K26" i="2"/>
  <c r="M26" i="2" s="1"/>
  <c r="P25" i="2"/>
  <c r="C29" i="2"/>
  <c r="E28" i="2"/>
  <c r="F28" i="2" s="1"/>
  <c r="H27" i="2"/>
  <c r="L27" i="2" s="1"/>
  <c r="G27" i="2"/>
  <c r="N25" i="2"/>
  <c r="O25" i="2" s="1"/>
  <c r="N26" i="1"/>
  <c r="O26" i="1" s="1"/>
  <c r="C31" i="1" l="1"/>
  <c r="E30" i="1"/>
  <c r="F30" i="1" s="1"/>
  <c r="P26" i="2"/>
  <c r="G29" i="1"/>
  <c r="K29" i="1" s="1"/>
  <c r="H29" i="1"/>
  <c r="K28" i="1"/>
  <c r="M28" i="1" s="1"/>
  <c r="I28" i="1"/>
  <c r="E29" i="2"/>
  <c r="F29" i="2" s="1"/>
  <c r="C30" i="2"/>
  <c r="P27" i="1"/>
  <c r="M27" i="1"/>
  <c r="N27" i="1" s="1"/>
  <c r="O27" i="1" s="1"/>
  <c r="G28" i="2"/>
  <c r="H28" i="2"/>
  <c r="L28" i="2" s="1"/>
  <c r="K27" i="2"/>
  <c r="I27" i="2"/>
  <c r="N26" i="2"/>
  <c r="O26" i="2" s="1"/>
  <c r="G29" i="2" l="1"/>
  <c r="K29" i="2" s="1"/>
  <c r="H29" i="2"/>
  <c r="P28" i="1"/>
  <c r="P29" i="1" s="1"/>
  <c r="E30" i="2"/>
  <c r="F30" i="2" s="1"/>
  <c r="C31" i="2"/>
  <c r="E31" i="1"/>
  <c r="F31" i="1" s="1"/>
  <c r="C32" i="1"/>
  <c r="H30" i="1"/>
  <c r="L30" i="1" s="1"/>
  <c r="G30" i="1"/>
  <c r="L29" i="1"/>
  <c r="M29" i="1" s="1"/>
  <c r="I29" i="1"/>
  <c r="K28" i="2"/>
  <c r="I28" i="2"/>
  <c r="P27" i="2"/>
  <c r="M27" i="2"/>
  <c r="N27" i="2" s="1"/>
  <c r="O27" i="2" s="1"/>
  <c r="N28" i="1"/>
  <c r="O28" i="1" s="1"/>
  <c r="E31" i="2" l="1"/>
  <c r="F31" i="2" s="1"/>
  <c r="C32" i="2"/>
  <c r="L29" i="2"/>
  <c r="M29" i="2" s="1"/>
  <c r="I29" i="2"/>
  <c r="H30" i="2"/>
  <c r="L30" i="2" s="1"/>
  <c r="G30" i="2"/>
  <c r="H31" i="1"/>
  <c r="L31" i="1" s="1"/>
  <c r="G31" i="1"/>
  <c r="C33" i="1"/>
  <c r="E32" i="1"/>
  <c r="F32" i="1" s="1"/>
  <c r="K30" i="1"/>
  <c r="I30" i="1"/>
  <c r="M28" i="2"/>
  <c r="N28" i="2" s="1"/>
  <c r="O28" i="2" s="1"/>
  <c r="P28" i="2"/>
  <c r="P29" i="2" s="1"/>
  <c r="N29" i="1"/>
  <c r="O29" i="1" s="1"/>
  <c r="H31" i="2" l="1"/>
  <c r="L31" i="2" s="1"/>
  <c r="G31" i="2"/>
  <c r="C33" i="2"/>
  <c r="E32" i="2"/>
  <c r="F32" i="2" s="1"/>
  <c r="K30" i="2"/>
  <c r="I30" i="2"/>
  <c r="K31" i="1"/>
  <c r="M31" i="1" s="1"/>
  <c r="I31" i="1"/>
  <c r="C34" i="1"/>
  <c r="E33" i="1"/>
  <c r="F33" i="1" s="1"/>
  <c r="H32" i="1"/>
  <c r="G32" i="1"/>
  <c r="K32" i="1" s="1"/>
  <c r="P30" i="1"/>
  <c r="M30" i="1"/>
  <c r="N30" i="1" s="1"/>
  <c r="O30" i="1" s="1"/>
  <c r="N29" i="2"/>
  <c r="O29" i="2" s="1"/>
  <c r="I31" i="2" l="1"/>
  <c r="K31" i="2"/>
  <c r="M31" i="2" s="1"/>
  <c r="C34" i="2"/>
  <c r="E33" i="2"/>
  <c r="F33" i="2" s="1"/>
  <c r="H32" i="2"/>
  <c r="L32" i="2" s="1"/>
  <c r="G32" i="2"/>
  <c r="K32" i="2" s="1"/>
  <c r="M32" i="2" s="1"/>
  <c r="M30" i="2"/>
  <c r="N30" i="2" s="1"/>
  <c r="O30" i="2" s="1"/>
  <c r="P30" i="2"/>
  <c r="P31" i="2" s="1"/>
  <c r="P31" i="1"/>
  <c r="P32" i="1" s="1"/>
  <c r="L32" i="1"/>
  <c r="M32" i="1" s="1"/>
  <c r="I32" i="1"/>
  <c r="C35" i="1"/>
  <c r="E34" i="1"/>
  <c r="F34" i="1" s="1"/>
  <c r="H33" i="1"/>
  <c r="L33" i="1" s="1"/>
  <c r="G33" i="1"/>
  <c r="N31" i="1"/>
  <c r="O31" i="1" s="1"/>
  <c r="C35" i="2" l="1"/>
  <c r="E34" i="2"/>
  <c r="F34" i="2" s="1"/>
  <c r="I32" i="2"/>
  <c r="H33" i="2"/>
  <c r="L33" i="2" s="1"/>
  <c r="G33" i="2"/>
  <c r="C36" i="1"/>
  <c r="E35" i="1"/>
  <c r="F35" i="1" s="1"/>
  <c r="H34" i="1"/>
  <c r="L34" i="1" s="1"/>
  <c r="G34" i="1"/>
  <c r="K33" i="1"/>
  <c r="I33" i="1"/>
  <c r="N31" i="2"/>
  <c r="O31" i="2" s="1"/>
  <c r="N32" i="1"/>
  <c r="O32" i="1" s="1"/>
  <c r="P32" i="2"/>
  <c r="M6" i="2" l="1"/>
  <c r="M10" i="2" s="1"/>
  <c r="E35" i="2"/>
  <c r="F35" i="2" s="1"/>
  <c r="H34" i="2"/>
  <c r="L34" i="2" s="1"/>
  <c r="G34" i="2"/>
  <c r="I33" i="2"/>
  <c r="K33" i="2"/>
  <c r="M33" i="1"/>
  <c r="N33" i="1" s="1"/>
  <c r="O33" i="1" s="1"/>
  <c r="P33" i="1"/>
  <c r="O6" i="1"/>
  <c r="O10" i="1" s="1"/>
  <c r="E36" i="1"/>
  <c r="F36" i="1" s="1"/>
  <c r="H35" i="1"/>
  <c r="G35" i="1"/>
  <c r="K35" i="1" s="1"/>
  <c r="K34" i="1"/>
  <c r="I34" i="1"/>
  <c r="N32" i="2"/>
  <c r="O32" i="2" s="1"/>
  <c r="M11" i="2" l="1"/>
  <c r="M12" i="2" s="1"/>
  <c r="M15" i="2"/>
  <c r="D63" i="2"/>
  <c r="G35" i="2"/>
  <c r="H35" i="2"/>
  <c r="L35" i="2" s="1"/>
  <c r="L57" i="2" s="1"/>
  <c r="K34" i="2"/>
  <c r="M34" i="2" s="1"/>
  <c r="I34" i="2"/>
  <c r="M33" i="2"/>
  <c r="N33" i="2" s="1"/>
  <c r="O33" i="2" s="1"/>
  <c r="P33" i="2"/>
  <c r="P34" i="1"/>
  <c r="P35" i="1" s="1"/>
  <c r="M34" i="1"/>
  <c r="N34" i="1" s="1"/>
  <c r="O34" i="1" s="1"/>
  <c r="G36" i="1"/>
  <c r="H36" i="1"/>
  <c r="L36" i="1" s="1"/>
  <c r="L35" i="1"/>
  <c r="M35" i="1" s="1"/>
  <c r="I35" i="1"/>
  <c r="O11" i="1"/>
  <c r="O12" i="1" s="1"/>
  <c r="O15" i="1"/>
  <c r="D64" i="1"/>
  <c r="D64" i="2" l="1"/>
  <c r="F63" i="2"/>
  <c r="G63" i="2" s="1"/>
  <c r="H63" i="2" s="1"/>
  <c r="P34" i="2"/>
  <c r="P35" i="2" s="1"/>
  <c r="K35" i="2"/>
  <c r="I35" i="2"/>
  <c r="L58" i="1"/>
  <c r="I36" i="1"/>
  <c r="K36" i="1"/>
  <c r="F64" i="1"/>
  <c r="G64" i="1" s="1"/>
  <c r="I64" i="1" s="1"/>
  <c r="D65" i="1"/>
  <c r="N34" i="2"/>
  <c r="O34" i="2" s="1"/>
  <c r="N35" i="1"/>
  <c r="O35" i="1" s="1"/>
  <c r="M35" i="2" l="1"/>
  <c r="K57" i="2"/>
  <c r="D65" i="2"/>
  <c r="F64" i="2"/>
  <c r="G64" i="2" s="1"/>
  <c r="H64" i="2" s="1"/>
  <c r="P36" i="1"/>
  <c r="K58" i="1"/>
  <c r="M36" i="1"/>
  <c r="D66" i="1"/>
  <c r="F65" i="1"/>
  <c r="G65" i="1" s="1"/>
  <c r="I65" i="1" s="1"/>
  <c r="M9" i="2"/>
  <c r="P57" i="2"/>
  <c r="M57" i="2" l="1"/>
  <c r="N35" i="2"/>
  <c r="D66" i="2"/>
  <c r="F65" i="2"/>
  <c r="G65" i="2" s="1"/>
  <c r="H65" i="2" s="1"/>
  <c r="P58" i="1"/>
  <c r="O9" i="1"/>
  <c r="K64" i="1" s="1"/>
  <c r="M58" i="1"/>
  <c r="N36" i="1"/>
  <c r="D67" i="1"/>
  <c r="F66" i="1"/>
  <c r="G66" i="1" s="1"/>
  <c r="I66" i="1" s="1"/>
  <c r="I64" i="2"/>
  <c r="I63" i="2"/>
  <c r="M16" i="2"/>
  <c r="M63" i="2"/>
  <c r="M64" i="2"/>
  <c r="N57" i="2" l="1"/>
  <c r="O35" i="2"/>
  <c r="D67" i="2"/>
  <c r="F66" i="2"/>
  <c r="G66" i="2" s="1"/>
  <c r="H66" i="2" s="1"/>
  <c r="M65" i="2"/>
  <c r="I65" i="2"/>
  <c r="K66" i="1"/>
  <c r="K65" i="1"/>
  <c r="O16" i="1"/>
  <c r="O64" i="1"/>
  <c r="N58" i="1"/>
  <c r="O36" i="1"/>
  <c r="O8" i="1" s="1" a="1"/>
  <c r="M64" i="1" s="1"/>
  <c r="N64" i="1" s="1"/>
  <c r="L65" i="1" s="1"/>
  <c r="M65" i="1" s="1"/>
  <c r="D68" i="1"/>
  <c r="F67" i="1"/>
  <c r="G67" i="1" s="1"/>
  <c r="I67" i="1" s="1"/>
  <c r="K67" i="1" s="1"/>
  <c r="M8" i="2" l="1"/>
  <c r="O57" i="2"/>
  <c r="F67" i="2"/>
  <c r="G67" i="2" s="1"/>
  <c r="H67" i="2" s="1"/>
  <c r="D68" i="2"/>
  <c r="M66" i="2"/>
  <c r="I66" i="2"/>
  <c r="N65" i="1"/>
  <c r="L66" i="1" s="1"/>
  <c r="M66" i="1" s="1"/>
  <c r="N66" i="1" s="1"/>
  <c r="L67" i="1" s="1"/>
  <c r="M67" i="1" s="1"/>
  <c r="N67" i="1" s="1"/>
  <c r="L68" i="1" s="1"/>
  <c r="M68" i="1" s="1"/>
  <c r="O58" i="1"/>
  <c r="D69" i="1"/>
  <c r="F68" i="1"/>
  <c r="G68" i="1" s="1"/>
  <c r="I68" i="1" s="1"/>
  <c r="O68" i="1" s="1"/>
  <c r="O66" i="1"/>
  <c r="O65" i="1"/>
  <c r="O67" i="1"/>
  <c r="K63" i="2" l="1"/>
  <c r="L63" i="2" s="1"/>
  <c r="J64" i="2" s="1"/>
  <c r="K64" i="2" s="1"/>
  <c r="L64" i="2" s="1"/>
  <c r="J65" i="2" s="1"/>
  <c r="K65" i="2" s="1"/>
  <c r="L65" i="2" s="1"/>
  <c r="J66" i="2" s="1"/>
  <c r="K66" i="2" s="1"/>
  <c r="L66" i="2" s="1"/>
  <c r="J67" i="2" s="1"/>
  <c r="K67" i="2" s="1"/>
  <c r="L67" i="2" s="1"/>
  <c r="J68" i="2" s="1"/>
  <c r="K68" i="2" s="1"/>
  <c r="L68" i="2" s="1"/>
  <c r="J69" i="2" s="1"/>
  <c r="M17" i="2"/>
  <c r="M13" i="2"/>
  <c r="M14" i="2" s="1"/>
  <c r="M67" i="2"/>
  <c r="I67" i="2"/>
  <c r="D69" i="2"/>
  <c r="F68" i="2"/>
  <c r="G68" i="2" s="1"/>
  <c r="H68" i="2" s="1"/>
  <c r="N68" i="1"/>
  <c r="L69" i="1"/>
  <c r="O13" i="1"/>
  <c r="O14" i="1" s="1"/>
  <c r="O17" i="1"/>
  <c r="D70" i="1"/>
  <c r="F69" i="1"/>
  <c r="G69" i="1" s="1"/>
  <c r="I69" i="1" s="1"/>
  <c r="K68" i="1"/>
  <c r="K69" i="2" l="1"/>
  <c r="L69" i="2"/>
  <c r="J70" i="2" s="1"/>
  <c r="K70" i="2" s="1"/>
  <c r="L70" i="2" s="1"/>
  <c r="J71" i="2" s="1"/>
  <c r="K71" i="2" s="1"/>
  <c r="L71" i="2" s="1"/>
  <c r="J72" i="2" s="1"/>
  <c r="K72" i="2" s="1"/>
  <c r="L72" i="2" s="1"/>
  <c r="J73" i="2" s="1"/>
  <c r="K73" i="2" s="1"/>
  <c r="L73" i="2" s="1"/>
  <c r="J74" i="2" s="1"/>
  <c r="K74" i="2" s="1"/>
  <c r="L74" i="2" s="1"/>
  <c r="J75" i="2" s="1"/>
  <c r="K75" i="2" s="1"/>
  <c r="L75" i="2" s="1"/>
  <c r="J76" i="2" s="1"/>
  <c r="K76" i="2" s="1"/>
  <c r="L76" i="2" s="1"/>
  <c r="J77" i="2" s="1"/>
  <c r="K77" i="2" s="1"/>
  <c r="L77" i="2" s="1"/>
  <c r="J78" i="2" s="1"/>
  <c r="K78" i="2" s="1"/>
  <c r="L78" i="2" s="1"/>
  <c r="J79" i="2" s="1"/>
  <c r="K79" i="2" s="1"/>
  <c r="L79" i="2" s="1"/>
  <c r="J80" i="2" s="1"/>
  <c r="K80" i="2" s="1"/>
  <c r="L80" i="2" s="1"/>
  <c r="K81" i="2" s="1"/>
  <c r="L81" i="2" s="1"/>
  <c r="J82" i="2" s="1"/>
  <c r="K82" i="2" s="1"/>
  <c r="L82" i="2" s="1"/>
  <c r="D70" i="2"/>
  <c r="F69" i="2"/>
  <c r="G69" i="2" s="1"/>
  <c r="H69" i="2" s="1"/>
  <c r="M68" i="2"/>
  <c r="I68" i="2"/>
  <c r="M69" i="1"/>
  <c r="N69" i="1"/>
  <c r="L70" i="1" s="1"/>
  <c r="M70" i="1" s="1"/>
  <c r="D71" i="1"/>
  <c r="F70" i="1"/>
  <c r="G70" i="1" s="1"/>
  <c r="I70" i="1" s="1"/>
  <c r="O69" i="1"/>
  <c r="K69" i="1"/>
  <c r="D71" i="2" l="1"/>
  <c r="F70" i="2"/>
  <c r="G70" i="2" s="1"/>
  <c r="H70" i="2" s="1"/>
  <c r="M69" i="2"/>
  <c r="I69" i="2"/>
  <c r="N70" i="1"/>
  <c r="L71" i="1" s="1"/>
  <c r="M71" i="1" s="1"/>
  <c r="D72" i="1"/>
  <c r="F71" i="1"/>
  <c r="G71" i="1" s="1"/>
  <c r="I71" i="1" s="1"/>
  <c r="O70" i="1"/>
  <c r="K70" i="1"/>
  <c r="D72" i="2" l="1"/>
  <c r="F71" i="2"/>
  <c r="G71" i="2" s="1"/>
  <c r="H71" i="2" s="1"/>
  <c r="M70" i="2"/>
  <c r="I70" i="2"/>
  <c r="N71" i="1"/>
  <c r="L72" i="1"/>
  <c r="D73" i="1"/>
  <c r="F72" i="1"/>
  <c r="G72" i="1" s="1"/>
  <c r="I72" i="1" s="1"/>
  <c r="O71" i="1"/>
  <c r="K71" i="1"/>
  <c r="D73" i="2" l="1"/>
  <c r="F72" i="2"/>
  <c r="G72" i="2" s="1"/>
  <c r="H72" i="2" s="1"/>
  <c r="M71" i="2"/>
  <c r="I71" i="2"/>
  <c r="M72" i="1"/>
  <c r="N72" i="1" s="1"/>
  <c r="L73" i="1" s="1"/>
  <c r="D74" i="1"/>
  <c r="F73" i="1"/>
  <c r="G73" i="1" s="1"/>
  <c r="I73" i="1" s="1"/>
  <c r="O72" i="1"/>
  <c r="K72" i="1"/>
  <c r="D74" i="2" l="1"/>
  <c r="F73" i="2"/>
  <c r="G73" i="2" s="1"/>
  <c r="H73" i="2" s="1"/>
  <c r="I72" i="2"/>
  <c r="M72" i="2"/>
  <c r="M73" i="1"/>
  <c r="N73" i="1" s="1"/>
  <c r="L74" i="1" s="1"/>
  <c r="M74" i="1" s="1"/>
  <c r="D75" i="1"/>
  <c r="F74" i="1"/>
  <c r="G74" i="1" s="1"/>
  <c r="I74" i="1" s="1"/>
  <c r="O73" i="1"/>
  <c r="K73" i="1"/>
  <c r="D75" i="2" l="1"/>
  <c r="F74" i="2"/>
  <c r="G74" i="2" s="1"/>
  <c r="H74" i="2" s="1"/>
  <c r="M73" i="2"/>
  <c r="I73" i="2"/>
  <c r="N74" i="1"/>
  <c r="L75" i="1" s="1"/>
  <c r="M75" i="1" s="1"/>
  <c r="D76" i="1"/>
  <c r="F75" i="1"/>
  <c r="G75" i="1" s="1"/>
  <c r="I75" i="1" s="1"/>
  <c r="O74" i="1"/>
  <c r="K74" i="1"/>
  <c r="D76" i="2" l="1"/>
  <c r="F75" i="2"/>
  <c r="G75" i="2" s="1"/>
  <c r="H75" i="2" s="1"/>
  <c r="M74" i="2"/>
  <c r="I74" i="2"/>
  <c r="N75" i="1"/>
  <c r="L76" i="1" s="1"/>
  <c r="M76" i="1" s="1"/>
  <c r="D77" i="1"/>
  <c r="F76" i="1"/>
  <c r="G76" i="1" s="1"/>
  <c r="I76" i="1" s="1"/>
  <c r="O75" i="1"/>
  <c r="K75" i="1"/>
  <c r="D77" i="2" l="1"/>
  <c r="F76" i="2"/>
  <c r="G76" i="2" s="1"/>
  <c r="H76" i="2" s="1"/>
  <c r="I75" i="2"/>
  <c r="M75" i="2"/>
  <c r="N76" i="1"/>
  <c r="L77" i="1" s="1"/>
  <c r="M77" i="1" s="1"/>
  <c r="D78" i="1"/>
  <c r="F77" i="1"/>
  <c r="G77" i="1" s="1"/>
  <c r="I77" i="1" s="1"/>
  <c r="O76" i="1"/>
  <c r="K76" i="1"/>
  <c r="D78" i="2" l="1"/>
  <c r="F77" i="2"/>
  <c r="G77" i="2" s="1"/>
  <c r="H77" i="2" s="1"/>
  <c r="M76" i="2"/>
  <c r="I76" i="2"/>
  <c r="N77" i="1"/>
  <c r="L78" i="1" s="1"/>
  <c r="M78" i="1" s="1"/>
  <c r="D79" i="1"/>
  <c r="F78" i="1"/>
  <c r="G78" i="1" s="1"/>
  <c r="I78" i="1" s="1"/>
  <c r="K77" i="1"/>
  <c r="O77" i="1"/>
  <c r="D79" i="2" l="1"/>
  <c r="F78" i="2"/>
  <c r="G78" i="2" s="1"/>
  <c r="H78" i="2" s="1"/>
  <c r="M77" i="2"/>
  <c r="I77" i="2"/>
  <c r="N78" i="1"/>
  <c r="L79" i="1" s="1"/>
  <c r="D80" i="1"/>
  <c r="F79" i="1"/>
  <c r="G79" i="1" s="1"/>
  <c r="I79" i="1" s="1"/>
  <c r="O78" i="1"/>
  <c r="K78" i="1"/>
  <c r="F79" i="2" l="1"/>
  <c r="G79" i="2" s="1"/>
  <c r="H79" i="2" s="1"/>
  <c r="D80" i="2"/>
  <c r="M78" i="2"/>
  <c r="I78" i="2"/>
  <c r="M79" i="1"/>
  <c r="N79" i="1"/>
  <c r="L80" i="1" s="1"/>
  <c r="D81" i="1"/>
  <c r="F80" i="1"/>
  <c r="G80" i="1" s="1"/>
  <c r="I80" i="1" s="1"/>
  <c r="O79" i="1"/>
  <c r="K79" i="1"/>
  <c r="M79" i="2" l="1"/>
  <c r="I79" i="2"/>
  <c r="D81" i="2"/>
  <c r="F80" i="2"/>
  <c r="G80" i="2" s="1"/>
  <c r="H80" i="2" s="1"/>
  <c r="M80" i="1"/>
  <c r="N80" i="1" s="1"/>
  <c r="L81" i="1" s="1"/>
  <c r="M81" i="1" s="1"/>
  <c r="D82" i="1"/>
  <c r="F81" i="1"/>
  <c r="G81" i="1" s="1"/>
  <c r="I81" i="1" s="1"/>
  <c r="O80" i="1"/>
  <c r="K80" i="1"/>
  <c r="D82" i="2" l="1"/>
  <c r="F82" i="2" s="1"/>
  <c r="G82" i="2" s="1"/>
  <c r="F81" i="2"/>
  <c r="G81" i="2" s="1"/>
  <c r="H81" i="2" s="1"/>
  <c r="M80" i="2"/>
  <c r="I80" i="2"/>
  <c r="N81" i="1"/>
  <c r="L82" i="1" s="1"/>
  <c r="M82" i="1" s="1"/>
  <c r="D83" i="1"/>
  <c r="F83" i="1" s="1"/>
  <c r="G83" i="1" s="1"/>
  <c r="F82" i="1"/>
  <c r="G82" i="1" s="1"/>
  <c r="I82" i="1" s="1"/>
  <c r="O81" i="1"/>
  <c r="K81" i="1"/>
  <c r="H82" i="2" l="1"/>
  <c r="M81" i="2"/>
  <c r="I81" i="2"/>
  <c r="N82" i="1"/>
  <c r="L83" i="1" s="1"/>
  <c r="M83" i="1" s="1"/>
  <c r="N83" i="1" s="1"/>
  <c r="I83" i="1"/>
  <c r="O82" i="1"/>
  <c r="K82" i="1"/>
  <c r="M82" i="2" l="1"/>
  <c r="I82" i="2"/>
  <c r="O83" i="1"/>
  <c r="K8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<sst xmlns="http://schemas.openxmlformats.org/spreadsheetml/2006/main" count="199" uniqueCount="148">
  <si>
    <t>NPS ते सेवानिवृत्ती संचित निधी व RNPS पेन्शन परतावा गणक — ७ वा वेतन आयोग</t>
  </si>
  <si>
    <t>कर्मचारी मास्टर इनपुट: नियुक्ती दिनांक, जन्मतारीख, ५८ वर्षानुसार निवृत्ती तारीख आणि २०२६ पासून निवृत्तीपर्यंत वर्षनिहाय गणना</t>
  </si>
  <si>
    <t>कर्मचारी व सेवा तपशील (मास्टर इनपुट — Master Input)</t>
  </si>
  <si>
    <t>सेवानिवृत्ती समयी पेन्शन व परतावा विश्लेषण (Retirement Summary - 7th Pay)</t>
  </si>
  <si>
    <t>कर्मचाऱ्याचे नाव (Employee Name)</t>
  </si>
  <si>
    <t>Bhande</t>
  </si>
  <si>
    <t>सेवानिवृत्ती दिनांक (Date of Retirement)</t>
  </si>
  <si>
    <t>पदनाम (Designation)</t>
  </si>
  <si>
    <t>Junior Clerk</t>
  </si>
  <si>
    <t>सेवानिवृत्ती वेळेस शेवटचे मूळ वेतन (Last Basic Pay)</t>
  </si>
  <si>
    <t>जन्म दिनांक (Date of Birth - DD/MM/YYYY)</t>
  </si>
  <si>
    <t>1981-07-19</t>
  </si>
  <si>
    <t>सेवानिवृत्ती समयी ७ वा महागाई भत्ता दर (7th DA Rate)</t>
  </si>
  <si>
    <t>शासकीय सेवेत नियुक्ती दिनांक (Date of Joining)</t>
  </si>
  <si>
    <t>2015-11-06</t>
  </si>
  <si>
    <t>एकूण NPS संचित निधी (Total NPS Corpus at Retirement)</t>
  </si>
  <si>
    <t>सेवानिवृत्तीचे वय (Superannuation Age)</t>
  </si>
  <si>
    <t>त्यापैकी कर्मचाऱ्याचा एकूण १०% संचित हिस्सा</t>
  </si>
  <si>
    <t>५८ वर्षानुसार सेवानिवृत्ती दिनांक (Date of Retirement)</t>
  </si>
  <si>
    <t>RNPS / OPS मासिक मूळ पेन्शन (Monthly Basic - 50%)</t>
  </si>
  <si>
    <t>एकूण अर्हताकारी सेवा (Total Length of Service)</t>
  </si>
  <si>
    <t>RNPS प्रथम वर्षाचे दरमहा पेन्शन (महागाई भत्त्यासह)</t>
  </si>
  <si>
    <t>२०२६ पासून निवृत्तीपर्यंत शिल्लक सेवा (Remaining Years)</t>
  </si>
  <si>
    <t>RNPS प्रथम वर्षाचे एकूण वार्षिक पेन्शन (Annual Pension)</t>
  </si>
  <si>
    <t>०१/०१/२०२६ रोजीचे मूळ वेतन (7th Pay Basic Pay)</t>
  </si>
  <si>
    <t>NPS ४०% अ‍ॅन्युइटी मासिक पेन्शन (अंदाजे ६% दराने)</t>
  </si>
  <si>
    <t>०१/०१/२०२६ रोजीचा महागाई भत्ता दर (7th Pay DA %)</t>
  </si>
  <si>
    <t>★ RNPS मुळे दरमहा होणारा थेट निव्वळ फायदा (RNPS Monthly Benefit)</t>
  </si>
  <si>
    <t>०१/०१/२०२६ रोजी NPS खात्यातील एकूण संचित रक्कम</t>
  </si>
  <si>
    <t>★ कुटुंब निवृत्तीवेतन (Family Pension - ६०% मूळ + DA)</t>
  </si>
  <si>
    <t>कर्मचाऱ्याचा स्वतःचा हिस्सा संपण्याचा कालावधी (फक्त स्वतःचे पैसे)</t>
  </si>
  <si>
    <t>एकूण संचित निधी (१०%+१४%) संपण्याचा कालावधी (पूर्ण कॉर्पस)</t>
  </si>
  <si>
    <t>वार्षिक वेतनवाढ दर (Annual Increment Rate)</t>
  </si>
  <si>
    <t>७ वा वेतन आयोग: ०१/०१/२०२६ पासून निवृत्तीपर्यंत वर्षनिहाय वेतनवाढ (३%), महागाई भत्ता, १०% व १४% अंशदान आणि चक्रवाढ संचित निधी</t>
  </si>
  <si>
    <t>NPS फंड सरासरी वार्षिक परतावा दर (NPS Return Rate)</t>
  </si>
  <si>
    <t>अ.क्र.
Sr.</t>
  </si>
  <si>
    <t>वर्ष
Year</t>
  </si>
  <si>
    <t>मूळ वेतन
Basic Pay (₹)</t>
  </si>
  <si>
    <t>७ वा महागाई दर
7th DA %</t>
  </si>
  <si>
    <t>७ वा महागाई भत्ता
7th DA Amt (₹)</t>
  </si>
  <si>
    <t>एकूण मासिक वेतन
Gross / Mth (₹)</t>
  </si>
  <si>
    <t>कर्मचारी १०%
Emp 10% (₹)</t>
  </si>
  <si>
    <t>शासन १४%
Govt 14% (₹)</t>
  </si>
  <si>
    <t>मासिक एकूण
Total Cont. (₹)</t>
  </si>
  <si>
    <t>कार्यरत महिने
Mths in Yr</t>
  </si>
  <si>
    <t>कर्मचारी वार्षिक
Emp Year (₹)</t>
  </si>
  <si>
    <t>शासन वार्षिक
Govt Year (₹)</t>
  </si>
  <si>
    <t>वार्षिक एकूण अंशदान
Total Annual (₹)</t>
  </si>
  <si>
    <t>वार्षिक परतावा/व्याज
Int / Return (₹)</t>
  </si>
  <si>
    <t>एकूण NPS संचित निधी
Closing NPS Fund (₹)</t>
  </si>
  <si>
    <t>कर्मचारी संचित शिल्लक
Closing Emp Fund (₹)</t>
  </si>
  <si>
    <t>एकूण (Total)</t>
  </si>
  <si>
    <t>सेवानिवृत्ती नंतर मिळणारी पेन्शन आणि 'स्वतःचीच रक्कम किती वर्षात परत मिळते?' याचे वर्षनिहाय गणित (Post-Retirement Payback)</t>
  </si>
  <si>
    <t>पेन्शन वर्ष
Pen. Yr</t>
  </si>
  <si>
    <t>कॅलेंडर वर्ष
Cal. Year</t>
  </si>
  <si>
    <t>कर्मचाऱ्याचे वय
Age</t>
  </si>
  <si>
    <t>RNPS मूळ पेन्शन
Basic Pen (₹)</t>
  </si>
  <si>
    <t>महागाई दर
DA %</t>
  </si>
  <si>
    <t>दरमहा एकूण पेन्शन
Mthly Pension (₹)</t>
  </si>
  <si>
    <t>वार्षिक पेन्शन
Annual Pen (₹)</t>
  </si>
  <si>
    <t>संचित पेन्शन उचल
Cumulative Recd (₹)</t>
  </si>
  <si>
    <t>कर्मचारी शिल्लक हिस्सा
Bal. Emp Share (₹)</t>
  </si>
  <si>
    <t>एकूण NPS शिल्लक कॉर्पस
Bal. Total NPS (₹)</t>
  </si>
  <si>
    <t>स्थिती / स्पष्टीकरण
Status / Analysis</t>
  </si>
  <si>
    <t>NPS ते सेवानिवृत्ती संचित निधी व RNPS पेन्शन परतावा गणक — ८ वा वेतन आयोग</t>
  </si>
  <si>
    <t>टीप: कर्मचारी तपशील '7th_Pay_NPS_RNPS' शीटवरून थेट लिंक केलेले आहेत. येथे ८ व्या वेतनानुसार दुप्पट मूळ वेतन, स्वतंत्र DA वाढ व परतावा दर दर्शविला आहे.</t>
  </si>
  <si>
    <t>८ वा वेतन आयोग प्रमुख संदर्भ घटक (Linked from 7th Pay Sheet)</t>
  </si>
  <si>
    <t>८ व्या वेतन आयोगानुसार सेवानिवृत्ती समयी पेन्शन विश्लेषण (8th Pay Summary)</t>
  </si>
  <si>
    <t>कर्मचाऱ्याचे नाव व पदनाम (Employee Name &amp; Desig)</t>
  </si>
  <si>
    <t>जन्म व नियुक्ती दिनांक (DOB &amp; DOJ)</t>
  </si>
  <si>
    <t>५८ वर्षानुसार सेवानिवृत्ती दिनांक (Retirement Date)</t>
  </si>
  <si>
    <t>सेवानिवृत्ती समयी ८ वा महागाई भत्ता दर (8th DA Rate)</t>
  </si>
  <si>
    <t>८ व्या वेतन आयोगानुसार मूळ वेतन (01/01/2026 Basic = 2x)</t>
  </si>
  <si>
    <t>०१/०१/२०२६ रोजीचा महागाई भत्ता (8th Pay Initial DA %)</t>
  </si>
  <si>
    <t>०१/०१/२०२६ NPS संचित रक्कम (01/01/2026 NPS Corpus)</t>
  </si>
  <si>
    <t>८ वा वेतन आयोग अपेक्षित वार्षिक DA वाढ दर (Annual DA Hike)</t>
  </si>
  <si>
    <t>८ वा वेतन आयोग: २०२६ (बेसिक दुप्पट, महागाई ०%) व २०२७ ते २०३९ पर्यंत दरवर्षी ३% वेतनवाढ (Annual Increment) नुसार वर्षनिहाय गणना</t>
  </si>
  <si>
    <t>८ वा महागाई दर
8th DA %</t>
  </si>
  <si>
    <t>८ वा महागाई भत्ता
8th DA Amt (₹)</t>
  </si>
  <si>
    <t>८ व्या वेतनानुसार सेवानिवृत्ती नंतर मिळणारी पेन्शन आणि 'स्वतःचीच रक्कम किती वर्षात परत मिळते?' याचे वर्षनिहाय गणित (Post-Retirement Payback)</t>
  </si>
  <si>
    <t>OPS, NPS, RNPS आणि UPS या चारही पेन्शन योजनांचा परिपूर्ण तुलनात्मक तक्ता</t>
  </si>
  <si>
    <t>महाराष्ट्र शासन वित्त विभाग शासन निर्णय व तरतुदींवर आधारित विश्लेषक अहवाल</t>
  </si>
  <si>
    <t>अ.क्र.</t>
  </si>
  <si>
    <t>तुलनेचा मुद्दा / लाभ (Feature)</t>
  </si>
  <si>
    <t>OPS (जुनी पेन्शन १९८२)</t>
  </si>
  <si>
    <t>NPS (राष्ट्रीय निवृत्तीवेतन)</t>
  </si>
  <si>
    <t>RNPS (सुधारित NPS - महा.)</t>
  </si>
  <si>
    <t>UPS (एकीकृत पेन्शन योजना)</t>
  </si>
  <si>
    <t>सविस्तर नियम व विश्लेषण (Administrative Rule)</t>
  </si>
  <si>
    <t>कर्मचारी मासिक कपात (Employee Contribution)</t>
  </si>
  <si>
    <t>निरंक (०%) - फक्त GPF ऐच्छिक</t>
  </si>
  <si>
    <t>मूळ वेतन + DA चे १०%</t>
  </si>
  <si>
    <t>OPS मध्ये कोणतीही सक्तीची कपात नाही, इतर तिन्ही योजनांत १०% कपात होते.</t>
  </si>
  <si>
    <t>शासकीय अंशदान (Govt Contribution)</t>
  </si>
  <si>
    <t>लागू नाही (शासन १००% पेन्शन देते)</t>
  </si>
  <si>
    <t>मूळ वेतन + DA चे १४%</t>
  </si>
  <si>
    <t>मूळ वेतन + DA चे १८.५%</t>
  </si>
  <si>
    <t>UPS मध्ये केंद्र शासनाने १८.५% अंशदान ठेवले आहे, RNPS मध्ये १४% आहे.</t>
  </si>
  <si>
    <t>मासिक निवृत्तीवेतन हमी (Monthly Pension)</t>
  </si>
  <si>
    <t>शेवटच्या मूळ वेतनाच्या ५०% खात्रीशीर</t>
  </si>
  <si>
    <t>बाजारावर आधारित (अंदाजे २०% ते ३०%)</t>
  </si>
  <si>
    <t>शेवटच्या १२ महिन्यांच्या सरासरीचे ५०%</t>
  </si>
  <si>
    <t>NPS मध्ये हमी नाही; OPS व RNPS मध्ये पूर्ण ५०% हमी मिळते.</t>
  </si>
  <si>
    <t>किमान सेवा पात्रता (Minimum Qualifying Service)</t>
  </si>
  <si>
    <t>१० वर्षे (पूर्ण पेन्शनसाठी २० वर्षे)</t>
  </si>
  <si>
    <t>किमान सेवेची अट नाही (संचित निधीवर)</t>
  </si>
  <si>
    <t>किमान १० वर्षे (पूर्ण पेन्शनसाठी २५ वर्षे)</t>
  </si>
  <si>
    <t>RNPS मध्ये २० वर्षांत पूर्ण पेन्शन मिळते, UPS मध्ये २५ वर्षे सेवा आवश्यक आहे.</t>
  </si>
  <si>
    <t>पेन्शनवर महागाई भत्ता (Dearness Relief - DR)</t>
  </si>
  <si>
    <t>होय (वर्षातून २ वेळा केंद्र/राज्याप्रमाणे)</t>
  </si>
  <si>
    <t>मिळत नाही (अ‍ॅन्युइटी दरमहा स्थिर राहते)</t>
  </si>
  <si>
    <t>होय (वर्षातून २ वेळा पूर्ण DR वाढ)</t>
  </si>
  <si>
    <t>होय (AICPI निर्देशांकानुसार)</t>
  </si>
  <si>
    <t>NPS चा सर्वात मोठा तोटा महागाई भत्ता न मिळणे हाच आहे. RNPS मध्ये महागाई भत्ता मिळतो.</t>
  </si>
  <si>
    <t>किमान पेन्शन हमी (Minimum Pension)</t>
  </si>
  <si>
    <t>₹९,०००/- + महागाई भत्ता</t>
  </si>
  <si>
    <t>काहीही नाही (निधीवर अवलंबून)</t>
  </si>
  <si>
    <t>₹७,५००/- + महागाई भत्ता</t>
  </si>
  <si>
    <t>₹१०,०००/- + महागाई भत्ता</t>
  </si>
  <si>
    <t>कमी सेवा असणाऱ्या कर्मचाऱ्यांसाठी शासनाकडून किमान संरक्षणाची तरतूद.</t>
  </si>
  <si>
    <t>कुटुंब निवृत्तीवेतन (Family Pension)</t>
  </si>
  <si>
    <t>सेवेत मयत झाल्यास १००% नंतर ६०%</t>
  </si>
  <si>
    <t>१० वर्षे किंवा वयाची ६५ पर्यंत पूर्ण नंतर ६०%</t>
  </si>
  <si>
    <t>निवृत्तीवेतनधारकाच्या पेन्शनचे ६०%</t>
  </si>
  <si>
    <t>कर्मचाऱ्याच्या पश्चात कुटुंबाला आजन्म आर्थिक संरक्षण उपलब्ध होते.</t>
  </si>
  <si>
    <t>सेवानिवृत्ती उपदान (Gratuity)</t>
  </si>
  <si>
    <t>कमाल ₹२५ लाख मर्यादित</t>
  </si>
  <si>
    <t>सर्व योजनांमध्ये ग्रॅच्युइटीचे नियम समान ठेवण्यात आले आहेत.</t>
  </si>
  <si>
    <t>सेवानिवृत्ती समयी एकरकमी परतावा (Lump sum)</t>
  </si>
  <si>
    <t>कम्युटेशन (४०% विक्री व १५ वर्षांनी परत)</t>
  </si>
  <si>
    <t>एकूण निधीच्या ६०% करमुक्त परतावा</t>
  </si>
  <si>
    <t>६०% निधी शासनाकडे जमा करावा लागतो</t>
  </si>
  <si>
    <t>प्रत्येक ६ महिने सेवेसाठी १/१० वेतन</t>
  </si>
  <si>
    <t>RNPS स्वीकारल्यास PFRDA कडून मिळणारी ६०% रक्कम शासनाकडे जमा करावी लागते.</t>
  </si>
  <si>
    <t>मृत्यू पश्चात वारसांना कॉर्पस परतावा</t>
  </si>
  <si>
    <t>शिल्लक निधी नसतो (कुटुंब पेन्शन चालू)</t>
  </si>
  <si>
    <t>अ‍ॅन्युइटी पर्याय असल्यास कॉर्पस मिळतो</t>
  </si>
  <si>
    <t>नाही (फक्त ६०% कुटुंब पेन्शन चालू)</t>
  </si>
  <si>
    <t>NPS मध्ये अ‍ॅन्युइटीचा कॉर्पस वारसांना परत मिळण्याचा पर्याय असतो.</t>
  </si>
  <si>
    <t>विकल्प सादर करण्याची मुदत (Option Deadline)</t>
  </si>
  <si>
    <t>लागू नाही (०१/११/२००५ पूर्वीचे)</t>
  </si>
  <si>
    <t>लागू नाही (डिफॉल्ट योजना)</t>
  </si>
  <si>
    <t>३१ डिसेंबर २०२६ पर्यंत विकल्प देणे बंधनकारक</t>
  </si>
  <si>
    <t>केंद्र शासनाच्या नियमानुसार</t>
  </si>
  <si>
    <t>महाराष्ट्र शासनाने RNPS साठी कर्मचाऱ्यांना विचारपूर्वक विकल्प देण्याची संधी दिली आहे.</t>
  </si>
  <si>
    <t>त्यापैकी कर्मचाऱ्याचा अंदाजित १०% हिस्सा (~42%)</t>
  </si>
  <si>
    <t>त्यापैकी शासनाचा अंदाजित १४% हिस्सा (~58%)</t>
  </si>
  <si>
    <t>वार्षिक महागाई भत्ता वाढ दर (Annual D.A.)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</si>
</sst>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te\x\t"/>
    <numFmt numFmtId="165" formatCode="yyyy\-mm\-dd"/>
    <numFmt numFmtId="166" formatCode="\₹#,##0"/>
    <numFmt numFmtId="167" formatCode="0.0%"/>
    <numFmt numFmtId="168" formatCode="0.0\ &quot;वर्षे (Years)&quot;"/>
  </numFmts>
  <fonts count="10" x14ac:knownFonts="1">
    <font>
      <sz val="11"/>
      <color theme="1"/>
      <name val="Calibri"/>
      <family val="2"/>
      <scheme val="minor"/>
    </font>
    <font>
      <b/>
      <sz val="13"/>
      <color rgb="FF1F497D"/>
      <name val="Calibri"/>
    </font>
    <font>
      <i/>
      <sz val="9"/>
      <color rgb="FF595959"/>
      <name val="Calibri"/>
    </font>
    <font>
      <b/>
      <sz val="10"/>
      <color rgb="FFFFFFFF"/>
      <name val="Calibri"/>
    </font>
    <font>
      <b/>
      <sz val="9"/>
      <name val="Calibri"/>
    </font>
    <font>
      <sz val="9"/>
      <name val="Calibri"/>
    </font>
    <font>
      <b/>
      <sz val="9"/>
      <color rgb="FF1F497D"/>
      <name val="Calibri"/>
    </font>
    <font>
      <b/>
      <sz val="9"/>
      <color rgb="FFFFFFFF"/>
      <name val="Calibri"/>
    </font>
    <font>
      <b/>
      <sz val="8"/>
      <name val="Calibri"/>
      <family val="2"/>
    </font>
    <font>
      <b/>
      <sz val="9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2C5E8A"/>
        <bgColor rgb="FF2C5E8A"/>
      </patternFill>
    </fill>
    <fill>
      <patternFill patternType="solid">
        <fgColor rgb="FFDCE6F1"/>
        <bgColor rgb="FFDCE6F1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  <fill>
      <patternFill patternType="solid">
        <fgColor rgb="FF1F497D"/>
        <bgColor rgb="FF1F497D"/>
      </patternFill>
    </fill>
    <fill>
      <patternFill patternType="solid">
        <fgColor rgb="FFFCE4D6"/>
        <bgColor rgb="FFFCE4D6"/>
      </patternFill>
    </fill>
    <fill>
      <patternFill patternType="solid">
        <fgColor rgb="FFD9E1F2"/>
        <bgColor rgb="FFD9E1F2"/>
      </patternFill>
    </fill>
    <fill>
      <patternFill patternType="solid">
        <fgColor rgb="FFF9FAFB"/>
        <bgColor rgb="FFF9FAFB"/>
      </patternFill>
    </fill>
    <fill>
      <patternFill patternType="solid">
        <fgColor rgb="FFEBF1F5"/>
        <bgColor rgb="FFEBF1F5"/>
      </patternFill>
    </fill>
  </fills>
  <borders count="7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1F497D"/>
      </top>
      <bottom style="double">
        <color rgb="FF1F497D"/>
      </bottom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164" fontId="4" fillId="4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5" fontId="4" fillId="4" borderId="1" xfId="0" applyNumberFormat="1" applyFont="1" applyFill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65" fontId="4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166" fontId="4" fillId="4" borderId="1" xfId="0" applyNumberFormat="1" applyFont="1" applyFill="1" applyBorder="1" applyAlignment="1">
      <alignment horizontal="right" vertical="center"/>
    </xf>
    <xf numFmtId="167" fontId="4" fillId="4" borderId="1" xfId="0" applyNumberFormat="1" applyFont="1" applyFill="1" applyBorder="1" applyAlignment="1">
      <alignment horizontal="right" vertical="center"/>
    </xf>
    <xf numFmtId="166" fontId="4" fillId="7" borderId="1" xfId="0" applyNumberFormat="1" applyFont="1" applyFill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0" fontId="7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66" fontId="5" fillId="0" borderId="1" xfId="0" applyNumberFormat="1" applyFont="1" applyBorder="1"/>
    <xf numFmtId="167" fontId="5" fillId="0" borderId="1" xfId="0" applyNumberFormat="1" applyFont="1" applyBorder="1"/>
    <xf numFmtId="0" fontId="5" fillId="9" borderId="1" xfId="0" applyFont="1" applyFill="1" applyBorder="1" applyAlignment="1">
      <alignment horizontal="center"/>
    </xf>
    <xf numFmtId="166" fontId="5" fillId="9" borderId="1" xfId="0" applyNumberFormat="1" applyFont="1" applyFill="1" applyBorder="1"/>
    <xf numFmtId="167" fontId="5" fillId="9" borderId="1" xfId="0" applyNumberFormat="1" applyFont="1" applyFill="1" applyBorder="1"/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166" fontId="4" fillId="3" borderId="4" xfId="0" applyNumberFormat="1" applyFont="1" applyFill="1" applyBorder="1"/>
    <xf numFmtId="0" fontId="5" fillId="0" borderId="1" xfId="0" applyFont="1" applyBorder="1"/>
    <xf numFmtId="0" fontId="5" fillId="9" borderId="1" xfId="0" applyFont="1" applyFill="1" applyBorder="1"/>
    <xf numFmtId="164" fontId="4" fillId="10" borderId="1" xfId="0" applyNumberFormat="1" applyFont="1" applyFill="1" applyBorder="1" applyAlignment="1">
      <alignment horizontal="right" vertical="center"/>
    </xf>
    <xf numFmtId="165" fontId="4" fillId="10" borderId="1" xfId="0" applyNumberFormat="1" applyFont="1" applyFill="1" applyBorder="1" applyAlignment="1">
      <alignment horizontal="right" vertical="center"/>
    </xf>
    <xf numFmtId="166" fontId="4" fillId="5" borderId="1" xfId="0" applyNumberFormat="1" applyFont="1" applyFill="1" applyBorder="1" applyAlignment="1">
      <alignment horizontal="right" vertical="center"/>
    </xf>
    <xf numFmtId="166" fontId="4" fillId="10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3" fillId="2" borderId="0" xfId="0" applyFont="1" applyFill="1"/>
    <xf numFmtId="0" fontId="0" fillId="0" borderId="0" xfId="0"/>
    <xf numFmtId="0" fontId="6" fillId="8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3" fillId="2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0" fillId="7" borderId="1" xfId="0" applyFill="1" applyBorder="1"/>
    <xf numFmtId="0" fontId="4" fillId="10" borderId="1" xfId="0" applyFont="1" applyFill="1" applyBorder="1" applyAlignment="1">
      <alignment horizontal="left" vertical="center"/>
    </xf>
    <xf numFmtId="0" fontId="0" fillId="10" borderId="1" xfId="0" applyFill="1" applyBorder="1"/>
    <xf numFmtId="0" fontId="6" fillId="8" borderId="0" xfId="0" applyFont="1" applyFill="1" applyAlignment="1">
      <alignment horizontal="left" vertical="center"/>
    </xf>
    <xf numFmtId="3" fontId="5" fillId="0" borderId="1" xfId="0" applyNumberFormat="1" applyFont="1" applyBorder="1"/>
    <xf numFmtId="3" fontId="5" fillId="9" borderId="1" xfId="0" applyNumberFormat="1" applyFont="1" applyFill="1" applyBorder="1"/>
    <xf numFmtId="1" fontId="5" fillId="0" borderId="1" xfId="0" applyNumberFormat="1" applyFont="1" applyBorder="1"/>
    <xf numFmtId="1" fontId="5" fillId="0" borderId="1" xfId="0" applyNumberFormat="1" applyFont="1" applyBorder="1" applyAlignment="1">
      <alignment horizontal="center"/>
    </xf>
    <xf numFmtId="1" fontId="5" fillId="9" borderId="1" xfId="0" applyNumberFormat="1" applyFont="1" applyFill="1" applyBorder="1"/>
    <xf numFmtId="1" fontId="5" fillId="9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left" vertical="center"/>
    </xf>
    <xf numFmtId="1" fontId="0" fillId="0" borderId="0" xfId="0" applyNumberFormat="1"/>
    <xf numFmtId="1" fontId="5" fillId="4" borderId="1" xfId="0" applyNumberFormat="1" applyFont="1" applyFill="1" applyBorder="1"/>
    <xf numFmtId="168" fontId="4" fillId="5" borderId="5" xfId="0" applyNumberFormat="1" applyFont="1" applyFill="1" applyBorder="1" applyAlignment="1">
      <alignment horizontal="center" vertical="center"/>
    </xf>
    <xf numFmtId="168" fontId="4" fillId="5" borderId="0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/>
    <xf numFmtId="168" fontId="8" fillId="5" borderId="5" xfId="0" applyNumberFormat="1" applyFont="1" applyFill="1" applyBorder="1" applyAlignment="1">
      <alignment horizontal="center" vertical="center"/>
    </xf>
    <xf numFmtId="168" fontId="8" fillId="5" borderId="0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9" fontId="0" fillId="0" borderId="0" xfId="0" applyNumberFormat="1"/>
    <xf numFmtId="0" fontId="9" fillId="3" borderId="5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view="pageBreakPreview" zoomScale="115" zoomScaleNormal="100" zoomScaleSheetLayoutView="115" workbookViewId="0">
      <selection activeCell="F22" sqref="F22"/>
    </sheetView>
  </sheetViews>
  <sheetFormatPr defaultRowHeight="15" x14ac:dyDescent="0.25"/>
  <cols>
    <col min="1" max="1" width="7" customWidth="1"/>
    <col min="2" max="2" width="6.28515625" customWidth="1"/>
    <col min="3" max="3" width="7" customWidth="1"/>
    <col min="4" max="4" width="7.28515625" customWidth="1"/>
    <col min="5" max="5" width="9.42578125" customWidth="1"/>
    <col min="6" max="6" width="9" customWidth="1"/>
    <col min="7" max="7" width="9.85546875" customWidth="1"/>
    <col min="8" max="8" width="7" customWidth="1"/>
    <col min="9" max="9" width="8.28515625" customWidth="1"/>
    <col min="10" max="10" width="4.85546875" customWidth="1"/>
    <col min="11" max="11" width="7.7109375" customWidth="1"/>
    <col min="12" max="12" width="8.7109375" customWidth="1"/>
    <col min="13" max="13" width="10.85546875" customWidth="1"/>
    <col min="14" max="14" width="8.7109375" customWidth="1"/>
    <col min="15" max="15" width="10" customWidth="1"/>
    <col min="16" max="16" width="11" customWidth="1"/>
  </cols>
  <sheetData>
    <row r="1" spans="1:16" ht="17.25" x14ac:dyDescent="0.3">
      <c r="A1" s="1" t="s">
        <v>0</v>
      </c>
    </row>
    <row r="2" spans="1:16" x14ac:dyDescent="0.25">
      <c r="A2" s="2" t="s">
        <v>1</v>
      </c>
    </row>
    <row r="4" spans="1:16" x14ac:dyDescent="0.25">
      <c r="A4" s="49" t="s">
        <v>2</v>
      </c>
      <c r="B4" s="45"/>
      <c r="C4" s="45"/>
      <c r="D4" s="45"/>
      <c r="E4" s="45"/>
      <c r="F4" s="45"/>
      <c r="H4" s="51" t="s">
        <v>3</v>
      </c>
      <c r="I4" s="45"/>
      <c r="J4" s="45"/>
      <c r="K4" s="45"/>
      <c r="L4" s="45"/>
      <c r="M4" s="45"/>
      <c r="N4" s="45"/>
    </row>
    <row r="5" spans="1:16" x14ac:dyDescent="0.25">
      <c r="A5" s="71" t="s">
        <v>4</v>
      </c>
      <c r="B5" s="72"/>
      <c r="C5" s="72"/>
      <c r="D5" s="72"/>
      <c r="E5" s="72"/>
      <c r="F5" s="73"/>
      <c r="G5" s="3" t="s">
        <v>5</v>
      </c>
      <c r="I5" s="71" t="s">
        <v>6</v>
      </c>
      <c r="J5" s="72"/>
      <c r="K5" s="72"/>
      <c r="L5" s="72"/>
      <c r="M5" s="72"/>
      <c r="N5" s="73"/>
      <c r="O5" s="4">
        <f>G10</f>
        <v>50982</v>
      </c>
    </row>
    <row r="6" spans="1:16" x14ac:dyDescent="0.25">
      <c r="A6" s="71" t="s">
        <v>7</v>
      </c>
      <c r="B6" s="72"/>
      <c r="C6" s="72"/>
      <c r="D6" s="72"/>
      <c r="E6" s="72"/>
      <c r="F6" s="73"/>
      <c r="G6" s="3" t="s">
        <v>8</v>
      </c>
      <c r="I6" s="71" t="s">
        <v>9</v>
      </c>
      <c r="J6" s="72"/>
      <c r="K6" s="72"/>
      <c r="L6" s="72"/>
      <c r="M6" s="72"/>
      <c r="N6" s="73"/>
      <c r="O6" s="5">
        <f>LOOKUP(2, 1/(C23:C57&lt;&gt;""), C23:C57)</f>
        <v>90000</v>
      </c>
    </row>
    <row r="7" spans="1:16" x14ac:dyDescent="0.25">
      <c r="A7" s="71" t="s">
        <v>10</v>
      </c>
      <c r="B7" s="72"/>
      <c r="C7" s="72"/>
      <c r="D7" s="72"/>
      <c r="E7" s="72"/>
      <c r="F7" s="73"/>
      <c r="G7" s="6" t="s">
        <v>11</v>
      </c>
      <c r="I7" s="71" t="s">
        <v>12</v>
      </c>
      <c r="J7" s="72"/>
      <c r="K7" s="72"/>
      <c r="L7" s="72"/>
      <c r="M7" s="72"/>
      <c r="N7" s="73"/>
      <c r="O7" s="7" cm="1">
        <f t="array" ref="O7">LOOKUP(2, 1/(D23:D57&lt;&gt;""), D23:D57)</f>
        <v>1.1200000000000003</v>
      </c>
    </row>
    <row r="8" spans="1:16" x14ac:dyDescent="0.25">
      <c r="A8" s="71" t="s">
        <v>13</v>
      </c>
      <c r="B8" s="72"/>
      <c r="C8" s="72"/>
      <c r="D8" s="72"/>
      <c r="E8" s="72"/>
      <c r="F8" s="73"/>
      <c r="G8" s="6" t="s">
        <v>14</v>
      </c>
      <c r="I8" s="71" t="s">
        <v>15</v>
      </c>
      <c r="J8" s="72"/>
      <c r="K8" s="72"/>
      <c r="L8" s="72"/>
      <c r="M8" s="72"/>
      <c r="N8" s="73"/>
      <c r="O8" s="5" cm="1">
        <f t="array" ref="O8">LOOKUP(2, 1/(O23:O57&lt;&gt;""), O23:O57)</f>
        <v>25357041</v>
      </c>
    </row>
    <row r="9" spans="1:16" x14ac:dyDescent="0.25">
      <c r="A9" s="71" t="s">
        <v>16</v>
      </c>
      <c r="B9" s="72"/>
      <c r="C9" s="72"/>
      <c r="D9" s="72"/>
      <c r="E9" s="72"/>
      <c r="F9" s="73"/>
      <c r="G9" s="8">
        <v>58</v>
      </c>
      <c r="I9" s="71" t="s">
        <v>17</v>
      </c>
      <c r="J9" s="72"/>
      <c r="K9" s="72"/>
      <c r="L9" s="72"/>
      <c r="M9" s="72"/>
      <c r="N9" s="73"/>
      <c r="O9" s="5">
        <f>LOOKUP(2, 1/(P23:P57&lt;&gt;""), P23:P57)</f>
        <v>10606148</v>
      </c>
    </row>
    <row r="10" spans="1:16" x14ac:dyDescent="0.25">
      <c r="A10" s="71" t="s">
        <v>18</v>
      </c>
      <c r="B10" s="72"/>
      <c r="C10" s="72"/>
      <c r="D10" s="72"/>
      <c r="E10" s="72"/>
      <c r="F10" s="73"/>
      <c r="G10" s="9">
        <f>IF(DAY(G7)=1, EOMONTH(DATE(YEAR(G7)+G9, MONTH(G7)-1, 1), 0), EOMONTH(DATE(YEAR(G7)+G9, MONTH(G7), 1), 0))</f>
        <v>50982</v>
      </c>
      <c r="I10" s="71" t="s">
        <v>19</v>
      </c>
      <c r="J10" s="72"/>
      <c r="K10" s="72"/>
      <c r="L10" s="72"/>
      <c r="M10" s="72"/>
      <c r="N10" s="73"/>
      <c r="O10" s="5">
        <f>ROUND(O6*50%, 0)</f>
        <v>45000</v>
      </c>
    </row>
    <row r="11" spans="1:16" x14ac:dyDescent="0.25">
      <c r="A11" s="71" t="s">
        <v>20</v>
      </c>
      <c r="B11" s="72"/>
      <c r="C11" s="72"/>
      <c r="D11" s="72"/>
      <c r="E11" s="72"/>
      <c r="F11" s="73"/>
      <c r="G11" s="63" t="str">
        <f>DATEDIF(G8, G10, "Y") &amp; " वर्षे, " &amp; DATEDIF(G8, G10, "YM") &amp; " महिने, " &amp; DATEDIF(G8, G10, "MD") &amp; " दिवस"</f>
        <v>23 वर्षे, 8 महिने, 25 दिवस</v>
      </c>
      <c r="I11" s="71" t="s">
        <v>21</v>
      </c>
      <c r="J11" s="72"/>
      <c r="K11" s="72"/>
      <c r="L11" s="72"/>
      <c r="M11" s="72"/>
      <c r="N11" s="73"/>
      <c r="O11" s="5">
        <f>ROUND(O10*(1+O7), 0)</f>
        <v>95400</v>
      </c>
    </row>
    <row r="12" spans="1:16" x14ac:dyDescent="0.25">
      <c r="A12" s="71" t="s">
        <v>22</v>
      </c>
      <c r="B12" s="72"/>
      <c r="C12" s="72"/>
      <c r="D12" s="72"/>
      <c r="E12" s="72"/>
      <c r="F12" s="73"/>
      <c r="G12" s="10" t="str">
        <f>YEAR(G10)-2026 + ROUND(MONTH(G10)/12, 1) &amp; " वर्षे"</f>
        <v>13.6 वर्षे</v>
      </c>
      <c r="I12" s="71" t="s">
        <v>23</v>
      </c>
      <c r="J12" s="72"/>
      <c r="K12" s="72"/>
      <c r="L12" s="72"/>
      <c r="M12" s="72"/>
      <c r="N12" s="73"/>
      <c r="O12" s="5">
        <f>O11*12</f>
        <v>1144800</v>
      </c>
    </row>
    <row r="13" spans="1:16" x14ac:dyDescent="0.25">
      <c r="A13" s="71" t="s">
        <v>24</v>
      </c>
      <c r="B13" s="72"/>
      <c r="C13" s="72"/>
      <c r="D13" s="72"/>
      <c r="E13" s="72"/>
      <c r="F13" s="73"/>
      <c r="G13" s="11">
        <v>61300</v>
      </c>
      <c r="I13" s="71" t="s">
        <v>25</v>
      </c>
      <c r="J13" s="72"/>
      <c r="K13" s="72"/>
      <c r="L13" s="72"/>
      <c r="M13" s="72"/>
      <c r="N13" s="73"/>
      <c r="O13" s="5">
        <f>ROUND((O8*40%*6%)/12, 0)</f>
        <v>50714</v>
      </c>
    </row>
    <row r="14" spans="1:16" x14ac:dyDescent="0.25">
      <c r="A14" s="71" t="s">
        <v>26</v>
      </c>
      <c r="B14" s="72"/>
      <c r="C14" s="72"/>
      <c r="D14" s="72"/>
      <c r="E14" s="72"/>
      <c r="F14" s="73"/>
      <c r="G14" s="12">
        <v>0.6</v>
      </c>
      <c r="I14" s="71" t="s">
        <v>27</v>
      </c>
      <c r="J14" s="72"/>
      <c r="K14" s="72"/>
      <c r="L14" s="72"/>
      <c r="M14" s="72"/>
      <c r="N14" s="73"/>
      <c r="O14" s="13">
        <f>O11-O13</f>
        <v>44686</v>
      </c>
    </row>
    <row r="15" spans="1:16" x14ac:dyDescent="0.25">
      <c r="A15" s="71" t="s">
        <v>28</v>
      </c>
      <c r="B15" s="72"/>
      <c r="C15" s="72"/>
      <c r="D15" s="72"/>
      <c r="E15" s="72"/>
      <c r="F15" s="73"/>
      <c r="G15" s="11">
        <v>2500000</v>
      </c>
      <c r="I15" s="71" t="s">
        <v>29</v>
      </c>
      <c r="J15" s="72"/>
      <c r="K15" s="72"/>
      <c r="L15" s="72"/>
      <c r="M15" s="72"/>
      <c r="N15" s="73"/>
      <c r="O15" s="13">
        <f>ROUND(O10*60%*(1+O7), 0)</f>
        <v>57240</v>
      </c>
    </row>
    <row r="16" spans="1:16" x14ac:dyDescent="0.25">
      <c r="A16" s="74" t="s">
        <v>145</v>
      </c>
      <c r="B16" s="72"/>
      <c r="C16" s="72"/>
      <c r="D16" s="72"/>
      <c r="E16" s="72"/>
      <c r="F16" s="73"/>
      <c r="G16" s="14">
        <f>ROUND(G15*42%, 0)</f>
        <v>1050000</v>
      </c>
      <c r="I16" s="71" t="s">
        <v>30</v>
      </c>
      <c r="J16" s="72"/>
      <c r="K16" s="72"/>
      <c r="L16" s="72"/>
      <c r="M16" s="72"/>
      <c r="N16" s="73"/>
      <c r="O16" s="69">
        <f>ROUND(O9/O12, 1)</f>
        <v>9.3000000000000007</v>
      </c>
      <c r="P16" s="70"/>
    </row>
    <row r="17" spans="1:16" x14ac:dyDescent="0.25">
      <c r="A17" s="74" t="s">
        <v>146</v>
      </c>
      <c r="B17" s="72"/>
      <c r="C17" s="72"/>
      <c r="D17" s="72"/>
      <c r="E17" s="72"/>
      <c r="F17" s="73"/>
      <c r="G17" s="14">
        <f>G15-G16</f>
        <v>1450000</v>
      </c>
      <c r="I17" s="71" t="s">
        <v>31</v>
      </c>
      <c r="J17" s="72"/>
      <c r="K17" s="72"/>
      <c r="L17" s="72"/>
      <c r="M17" s="72"/>
      <c r="N17" s="73"/>
      <c r="O17" s="69">
        <f>ROUND(O8/O12, 1)</f>
        <v>22.1</v>
      </c>
      <c r="P17" s="70"/>
    </row>
    <row r="18" spans="1:16" x14ac:dyDescent="0.25">
      <c r="A18" s="71" t="s">
        <v>32</v>
      </c>
      <c r="B18" s="72"/>
      <c r="C18" s="72"/>
      <c r="D18" s="72"/>
      <c r="E18" s="72"/>
      <c r="F18" s="73"/>
      <c r="G18" s="15">
        <v>0.03</v>
      </c>
    </row>
    <row r="19" spans="1:16" x14ac:dyDescent="0.25">
      <c r="A19" s="74" t="s">
        <v>147</v>
      </c>
      <c r="B19" s="72"/>
      <c r="C19" s="72"/>
      <c r="D19" s="72"/>
      <c r="E19" s="72"/>
      <c r="F19" s="73"/>
      <c r="G19" s="15">
        <v>0.04</v>
      </c>
    </row>
    <row r="20" spans="1:16" ht="20.100000000000001" customHeight="1" x14ac:dyDescent="0.25">
      <c r="A20" s="46" t="s">
        <v>33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8"/>
    </row>
    <row r="21" spans="1:16" ht="15" customHeight="1" x14ac:dyDescent="0.25">
      <c r="A21" s="42" t="s">
        <v>34</v>
      </c>
      <c r="B21" s="43"/>
      <c r="C21" s="43"/>
      <c r="D21" s="43"/>
      <c r="E21" s="43"/>
      <c r="F21" s="12">
        <v>0.12</v>
      </c>
    </row>
    <row r="22" spans="1:16" ht="76.5" customHeight="1" x14ac:dyDescent="0.25">
      <c r="A22" s="16" t="s">
        <v>35</v>
      </c>
      <c r="B22" s="16" t="s">
        <v>36</v>
      </c>
      <c r="C22" s="16" t="s">
        <v>37</v>
      </c>
      <c r="D22" s="16" t="s">
        <v>38</v>
      </c>
      <c r="E22" s="16" t="s">
        <v>39</v>
      </c>
      <c r="F22" s="16" t="s">
        <v>40</v>
      </c>
      <c r="G22" s="16" t="s">
        <v>41</v>
      </c>
      <c r="H22" s="16" t="s">
        <v>42</v>
      </c>
      <c r="I22" s="16" t="s">
        <v>43</v>
      </c>
      <c r="J22" s="16" t="s">
        <v>44</v>
      </c>
      <c r="K22" s="16" t="s">
        <v>45</v>
      </c>
      <c r="L22" s="16" t="s">
        <v>46</v>
      </c>
      <c r="M22" s="16" t="s">
        <v>47</v>
      </c>
      <c r="N22" s="16" t="s">
        <v>48</v>
      </c>
      <c r="O22" s="16" t="s">
        <v>49</v>
      </c>
      <c r="P22" s="16" t="s">
        <v>50</v>
      </c>
    </row>
    <row r="23" spans="1:16" x14ac:dyDescent="0.25">
      <c r="A23" s="17">
        <f>IF(2026&lt;=YEAR($G$10), 1, "")</f>
        <v>1</v>
      </c>
      <c r="B23" s="17">
        <f>IF(A23="", "", 2026)</f>
        <v>2026</v>
      </c>
      <c r="C23" s="57">
        <f>IF(A23="", "", $G$13)</f>
        <v>61300</v>
      </c>
      <c r="D23" s="19">
        <f>IF(A23="", "", $G$14)</f>
        <v>0.6</v>
      </c>
      <c r="E23" s="59">
        <f t="shared" ref="E23:E57" si="0">IF(A23="", "", ROUND(C23*D23, 0))</f>
        <v>36780</v>
      </c>
      <c r="F23" s="59">
        <f t="shared" ref="F23:F57" si="1">IF(A23="", "", C23+E23)</f>
        <v>98080</v>
      </c>
      <c r="G23" s="59">
        <f t="shared" ref="G23:G57" si="2">IF(A23="", "", ROUND(F23*10%, 0))</f>
        <v>9808</v>
      </c>
      <c r="H23" s="59">
        <f t="shared" ref="H23:H57" si="3">IF(A23="", "", ROUND(F23*14%, 0))</f>
        <v>13731</v>
      </c>
      <c r="I23" s="59">
        <f t="shared" ref="I23:I57" si="4">IF(A23="", "", G23+H23)</f>
        <v>23539</v>
      </c>
      <c r="J23" s="60">
        <f>IF(A23="", "", IF(B23=YEAR($G$10), MONTH($G$10), 12))</f>
        <v>12</v>
      </c>
      <c r="K23" s="59">
        <f t="shared" ref="K23:K57" si="5">IF(A23="", "", G23*J23)</f>
        <v>117696</v>
      </c>
      <c r="L23" s="59">
        <f t="shared" ref="L23:L57" si="6">IF(A23="", "", H23*J23)</f>
        <v>164772</v>
      </c>
      <c r="M23" s="59">
        <f t="shared" ref="M23:M57" si="7">IF(A23="", "", K23+L23)</f>
        <v>282468</v>
      </c>
      <c r="N23" s="59">
        <f>IF(A23="", "", ROUND(($G$15+M23)*$F$21, 0))</f>
        <v>333896</v>
      </c>
      <c r="O23" s="59">
        <f>IF(A23="", "", $G$15+M23+N23)</f>
        <v>3116364</v>
      </c>
      <c r="P23" s="59">
        <f>IF(A23="", "", $G$16+K23+ROUND(($G$16+K23)*$F$21, 0))</f>
        <v>1307820</v>
      </c>
    </row>
    <row r="24" spans="1:16" x14ac:dyDescent="0.25">
      <c r="A24" s="20">
        <f>IF(2027&lt;=YEAR($G$10), 2, "")</f>
        <v>2</v>
      </c>
      <c r="B24" s="20">
        <f>IF(A24="", "", 2027)</f>
        <v>2027</v>
      </c>
      <c r="C24" s="58">
        <f>IF(A24="", "", IF(CEILING(C23*(1+$G$18), 100)-ROUND(C23*(1+$G$18), 0)&lt;=50, CEILING(C23*(1+$G$18), 100), CEILING(C23*(1+$G$18), 100)-100))</f>
        <v>63100</v>
      </c>
      <c r="D24" s="22">
        <f>IF(A24="", "", D23+$G$19)</f>
        <v>0.64</v>
      </c>
      <c r="E24" s="61">
        <f t="shared" si="0"/>
        <v>40384</v>
      </c>
      <c r="F24" s="61">
        <f t="shared" si="1"/>
        <v>103484</v>
      </c>
      <c r="G24" s="61">
        <f t="shared" si="2"/>
        <v>10348</v>
      </c>
      <c r="H24" s="61">
        <f t="shared" si="3"/>
        <v>14488</v>
      </c>
      <c r="I24" s="61">
        <f t="shared" si="4"/>
        <v>24836</v>
      </c>
      <c r="J24" s="62">
        <f>IF(A24="", "", IF(B24=YEAR($G$10), MONTH($G$10), 12))</f>
        <v>12</v>
      </c>
      <c r="K24" s="61">
        <f t="shared" si="5"/>
        <v>124176</v>
      </c>
      <c r="L24" s="61">
        <f t="shared" si="6"/>
        <v>173856</v>
      </c>
      <c r="M24" s="61">
        <f t="shared" si="7"/>
        <v>298032</v>
      </c>
      <c r="N24" s="61">
        <f t="shared" ref="N24:N57" si="8">IF(A24="", "", ROUND((O23+M24)*$F$21, 0))</f>
        <v>409728</v>
      </c>
      <c r="O24" s="61">
        <f t="shared" ref="O24:O57" si="9">IF(A24="", "", O23+M24+N24)</f>
        <v>3824124</v>
      </c>
      <c r="P24" s="61">
        <f t="shared" ref="P24:P57" si="10">IF(A24="", "", P23+K24+ROUND((P23+K24)*$F$21, 0))</f>
        <v>1603836</v>
      </c>
    </row>
    <row r="25" spans="1:16" x14ac:dyDescent="0.25">
      <c r="A25" s="17">
        <f>IF(2028&lt;=YEAR($G$10), 3, "")</f>
        <v>3</v>
      </c>
      <c r="B25" s="17">
        <f>IF(A25="", "", 2028)</f>
        <v>2028</v>
      </c>
      <c r="C25" s="57">
        <f>IF(A25="", "", IF(CEILING(C24*(1+$G$18), 100)-ROUND(C24*(1+$G$18), 0)&lt;=50, CEILING(C24*(1+$G$18), 100), CEILING(C24*(1+$G$18), 100)-100))</f>
        <v>65000</v>
      </c>
      <c r="D25" s="22">
        <f t="shared" ref="D25:D57" si="11">IF(A25="", "", D24+$G$19)</f>
        <v>0.68</v>
      </c>
      <c r="E25" s="59">
        <f t="shared" si="0"/>
        <v>44200</v>
      </c>
      <c r="F25" s="59">
        <f t="shared" si="1"/>
        <v>109200</v>
      </c>
      <c r="G25" s="59">
        <f t="shared" si="2"/>
        <v>10920</v>
      </c>
      <c r="H25" s="59">
        <f t="shared" si="3"/>
        <v>15288</v>
      </c>
      <c r="I25" s="59">
        <f t="shared" si="4"/>
        <v>26208</v>
      </c>
      <c r="J25" s="60">
        <f>IF(A25="", "", IF(B25=YEAR($G$10), MONTH($G$10), 12))</f>
        <v>12</v>
      </c>
      <c r="K25" s="59">
        <f t="shared" si="5"/>
        <v>131040</v>
      </c>
      <c r="L25" s="59">
        <f t="shared" si="6"/>
        <v>183456</v>
      </c>
      <c r="M25" s="59">
        <f t="shared" si="7"/>
        <v>314496</v>
      </c>
      <c r="N25" s="59">
        <f t="shared" si="8"/>
        <v>496634</v>
      </c>
      <c r="O25" s="59">
        <f t="shared" si="9"/>
        <v>4635254</v>
      </c>
      <c r="P25" s="59">
        <f t="shared" si="10"/>
        <v>1943061</v>
      </c>
    </row>
    <row r="26" spans="1:16" x14ac:dyDescent="0.25">
      <c r="A26" s="20">
        <f>IF(2029&lt;=YEAR($G$10), 4, "")</f>
        <v>4</v>
      </c>
      <c r="B26" s="20">
        <f>IF(A26="", "", 2029)</f>
        <v>2029</v>
      </c>
      <c r="C26" s="58">
        <f>IF(A26="", "", IF(CEILING(C25*(1+$G$18), 100)-ROUND(C25*(1+$G$18), 0)&lt;=50, CEILING(C25*(1+$G$18), 100), CEILING(C25*(1+$G$18), 100)-100))</f>
        <v>67000</v>
      </c>
      <c r="D26" s="22">
        <f t="shared" si="11"/>
        <v>0.72000000000000008</v>
      </c>
      <c r="E26" s="61">
        <f t="shared" si="0"/>
        <v>48240</v>
      </c>
      <c r="F26" s="61">
        <f t="shared" si="1"/>
        <v>115240</v>
      </c>
      <c r="G26" s="61">
        <f t="shared" si="2"/>
        <v>11524</v>
      </c>
      <c r="H26" s="61">
        <f t="shared" si="3"/>
        <v>16134</v>
      </c>
      <c r="I26" s="61">
        <f t="shared" si="4"/>
        <v>27658</v>
      </c>
      <c r="J26" s="62">
        <f>IF(A26="", "", IF(B26=YEAR($G$10), MONTH($G$10), 12))</f>
        <v>12</v>
      </c>
      <c r="K26" s="61">
        <f t="shared" si="5"/>
        <v>138288</v>
      </c>
      <c r="L26" s="61">
        <f t="shared" si="6"/>
        <v>193608</v>
      </c>
      <c r="M26" s="61">
        <f t="shared" si="7"/>
        <v>331896</v>
      </c>
      <c r="N26" s="61">
        <f t="shared" si="8"/>
        <v>596058</v>
      </c>
      <c r="O26" s="61">
        <f t="shared" si="9"/>
        <v>5563208</v>
      </c>
      <c r="P26" s="61">
        <f t="shared" si="10"/>
        <v>2331111</v>
      </c>
    </row>
    <row r="27" spans="1:16" x14ac:dyDescent="0.25">
      <c r="A27" s="17">
        <f>IF(2030&lt;=YEAR($G$10), 5, "")</f>
        <v>5</v>
      </c>
      <c r="B27" s="17">
        <f>IF(A27="", "", 2030)</f>
        <v>2030</v>
      </c>
      <c r="C27" s="57">
        <f>IF(A27="", "", IF(CEILING(C26*(1+$G$18), 100)-ROUND(C26*(1+$G$18), 0)&lt;=50, CEILING(C26*(1+$G$18), 100), CEILING(C26*(1+$G$18), 100)-100))</f>
        <v>69000</v>
      </c>
      <c r="D27" s="22">
        <f t="shared" si="11"/>
        <v>0.76000000000000012</v>
      </c>
      <c r="E27" s="59">
        <f t="shared" si="0"/>
        <v>52440</v>
      </c>
      <c r="F27" s="59">
        <f t="shared" si="1"/>
        <v>121440</v>
      </c>
      <c r="G27" s="59">
        <f t="shared" si="2"/>
        <v>12144</v>
      </c>
      <c r="H27" s="59">
        <f t="shared" si="3"/>
        <v>17002</v>
      </c>
      <c r="I27" s="59">
        <f t="shared" si="4"/>
        <v>29146</v>
      </c>
      <c r="J27" s="60">
        <f>IF(A27="", "", IF(B27=YEAR($G$10), MONTH($G$10), 12))</f>
        <v>12</v>
      </c>
      <c r="K27" s="59">
        <f t="shared" si="5"/>
        <v>145728</v>
      </c>
      <c r="L27" s="59">
        <f t="shared" si="6"/>
        <v>204024</v>
      </c>
      <c r="M27" s="59">
        <f t="shared" si="7"/>
        <v>349752</v>
      </c>
      <c r="N27" s="59">
        <f t="shared" si="8"/>
        <v>709555</v>
      </c>
      <c r="O27" s="59">
        <f t="shared" si="9"/>
        <v>6622515</v>
      </c>
      <c r="P27" s="59">
        <f t="shared" si="10"/>
        <v>2774060</v>
      </c>
    </row>
    <row r="28" spans="1:16" x14ac:dyDescent="0.25">
      <c r="A28" s="20">
        <f>IF(2031&lt;=YEAR($G$10), 6, "")</f>
        <v>6</v>
      </c>
      <c r="B28" s="20">
        <f>IF(A28="", "", 2031)</f>
        <v>2031</v>
      </c>
      <c r="C28" s="58">
        <f>IF(A28="", "", IF(CEILING(C27*(1+$G$18), 100)-ROUND(C27*(1+$G$18), 0)&lt;=50, CEILING(C27*(1+$G$18), 100), CEILING(C27*(1+$G$18), 100)-100))</f>
        <v>71100</v>
      </c>
      <c r="D28" s="22">
        <f t="shared" si="11"/>
        <v>0.80000000000000016</v>
      </c>
      <c r="E28" s="61">
        <f t="shared" si="0"/>
        <v>56880</v>
      </c>
      <c r="F28" s="61">
        <f t="shared" si="1"/>
        <v>127980</v>
      </c>
      <c r="G28" s="61">
        <f t="shared" si="2"/>
        <v>12798</v>
      </c>
      <c r="H28" s="61">
        <f t="shared" si="3"/>
        <v>17917</v>
      </c>
      <c r="I28" s="61">
        <f t="shared" si="4"/>
        <v>30715</v>
      </c>
      <c r="J28" s="62">
        <f>IF(A28="", "", IF(B28=YEAR($G$10), MONTH($G$10), 12))</f>
        <v>12</v>
      </c>
      <c r="K28" s="61">
        <f t="shared" si="5"/>
        <v>153576</v>
      </c>
      <c r="L28" s="61">
        <f t="shared" si="6"/>
        <v>215004</v>
      </c>
      <c r="M28" s="61">
        <f t="shared" si="7"/>
        <v>368580</v>
      </c>
      <c r="N28" s="61">
        <f t="shared" si="8"/>
        <v>838931</v>
      </c>
      <c r="O28" s="61">
        <f t="shared" si="9"/>
        <v>7830026</v>
      </c>
      <c r="P28" s="61">
        <f t="shared" si="10"/>
        <v>3278952</v>
      </c>
    </row>
    <row r="29" spans="1:16" x14ac:dyDescent="0.25">
      <c r="A29" s="17">
        <f>IF(2032&lt;=YEAR($G$10), 7, "")</f>
        <v>7</v>
      </c>
      <c r="B29" s="17">
        <f>IF(A29="", "", 2032)</f>
        <v>2032</v>
      </c>
      <c r="C29" s="57">
        <f>IF(A29="", "", IF(CEILING(C28*(1+$G$18), 100)-ROUND(C28*(1+$G$18), 0)&lt;=50, CEILING(C28*(1+$G$18), 100), CEILING(C28*(1+$G$18), 100)-100))</f>
        <v>73200</v>
      </c>
      <c r="D29" s="22">
        <f t="shared" si="11"/>
        <v>0.84000000000000019</v>
      </c>
      <c r="E29" s="59">
        <f t="shared" si="0"/>
        <v>61488</v>
      </c>
      <c r="F29" s="59">
        <f t="shared" si="1"/>
        <v>134688</v>
      </c>
      <c r="G29" s="59">
        <f t="shared" si="2"/>
        <v>13469</v>
      </c>
      <c r="H29" s="59">
        <f t="shared" si="3"/>
        <v>18856</v>
      </c>
      <c r="I29" s="59">
        <f t="shared" si="4"/>
        <v>32325</v>
      </c>
      <c r="J29" s="60">
        <f>IF(A29="", "", IF(B29=YEAR($G$10), MONTH($G$10), 12))</f>
        <v>12</v>
      </c>
      <c r="K29" s="59">
        <f t="shared" si="5"/>
        <v>161628</v>
      </c>
      <c r="L29" s="59">
        <f t="shared" si="6"/>
        <v>226272</v>
      </c>
      <c r="M29" s="59">
        <f t="shared" si="7"/>
        <v>387900</v>
      </c>
      <c r="N29" s="59">
        <f t="shared" si="8"/>
        <v>986151</v>
      </c>
      <c r="O29" s="59">
        <f t="shared" si="9"/>
        <v>9204077</v>
      </c>
      <c r="P29" s="59">
        <f t="shared" si="10"/>
        <v>3853450</v>
      </c>
    </row>
    <row r="30" spans="1:16" x14ac:dyDescent="0.25">
      <c r="A30" s="20">
        <f>IF(2033&lt;=YEAR($G$10), 8, "")</f>
        <v>8</v>
      </c>
      <c r="B30" s="20">
        <f>IF(A30="", "", 2033)</f>
        <v>2033</v>
      </c>
      <c r="C30" s="58">
        <f>IF(A30="", "", IF(CEILING(C29*(1+$G$18), 100)-ROUND(C29*(1+$G$18), 0)&lt;=50, CEILING(C29*(1+$G$18), 100), CEILING(C29*(1+$G$18), 100)-100))</f>
        <v>75400</v>
      </c>
      <c r="D30" s="22">
        <f t="shared" si="11"/>
        <v>0.88000000000000023</v>
      </c>
      <c r="E30" s="61">
        <f t="shared" si="0"/>
        <v>66352</v>
      </c>
      <c r="F30" s="61">
        <f t="shared" si="1"/>
        <v>141752</v>
      </c>
      <c r="G30" s="61">
        <f t="shared" si="2"/>
        <v>14175</v>
      </c>
      <c r="H30" s="61">
        <f t="shared" si="3"/>
        <v>19845</v>
      </c>
      <c r="I30" s="61">
        <f t="shared" si="4"/>
        <v>34020</v>
      </c>
      <c r="J30" s="62">
        <f>IF(A30="", "", IF(B30=YEAR($G$10), MONTH($G$10), 12))</f>
        <v>12</v>
      </c>
      <c r="K30" s="61">
        <f t="shared" si="5"/>
        <v>170100</v>
      </c>
      <c r="L30" s="61">
        <f t="shared" si="6"/>
        <v>238140</v>
      </c>
      <c r="M30" s="61">
        <f t="shared" si="7"/>
        <v>408240</v>
      </c>
      <c r="N30" s="61">
        <f t="shared" si="8"/>
        <v>1153478</v>
      </c>
      <c r="O30" s="61">
        <f t="shared" si="9"/>
        <v>10765795</v>
      </c>
      <c r="P30" s="61">
        <f t="shared" si="10"/>
        <v>4506376</v>
      </c>
    </row>
    <row r="31" spans="1:16" x14ac:dyDescent="0.25">
      <c r="A31" s="17">
        <f>IF(2034&lt;=YEAR($G$10), 9, "")</f>
        <v>9</v>
      </c>
      <c r="B31" s="17">
        <f>IF(A31="", "", 2034)</f>
        <v>2034</v>
      </c>
      <c r="C31" s="57">
        <f>IF(A31="", "", IF(CEILING(C30*(1+$G$18), 100)-ROUND(C30*(1+$G$18), 0)&lt;=50, CEILING(C30*(1+$G$18), 100), CEILING(C30*(1+$G$18), 100)-100))</f>
        <v>77700</v>
      </c>
      <c r="D31" s="22">
        <f t="shared" si="11"/>
        <v>0.92000000000000026</v>
      </c>
      <c r="E31" s="59">
        <f t="shared" si="0"/>
        <v>71484</v>
      </c>
      <c r="F31" s="59">
        <f t="shared" si="1"/>
        <v>149184</v>
      </c>
      <c r="G31" s="59">
        <f t="shared" si="2"/>
        <v>14918</v>
      </c>
      <c r="H31" s="59">
        <f t="shared" si="3"/>
        <v>20886</v>
      </c>
      <c r="I31" s="59">
        <f t="shared" si="4"/>
        <v>35804</v>
      </c>
      <c r="J31" s="60">
        <f>IF(A31="", "", IF(B31=YEAR($G$10), MONTH($G$10), 12))</f>
        <v>12</v>
      </c>
      <c r="K31" s="59">
        <f t="shared" si="5"/>
        <v>179016</v>
      </c>
      <c r="L31" s="59">
        <f t="shared" si="6"/>
        <v>250632</v>
      </c>
      <c r="M31" s="59">
        <f t="shared" si="7"/>
        <v>429648</v>
      </c>
      <c r="N31" s="59">
        <f t="shared" si="8"/>
        <v>1343453</v>
      </c>
      <c r="O31" s="59">
        <f t="shared" si="9"/>
        <v>12538896</v>
      </c>
      <c r="P31" s="59">
        <f t="shared" si="10"/>
        <v>5247639</v>
      </c>
    </row>
    <row r="32" spans="1:16" x14ac:dyDescent="0.25">
      <c r="A32" s="20">
        <f>IF(2035&lt;=YEAR($G$10), 10, "")</f>
        <v>10</v>
      </c>
      <c r="B32" s="20">
        <f>IF(A32="", "", 2035)</f>
        <v>2035</v>
      </c>
      <c r="C32" s="58">
        <f>IF(A32="", "", IF(CEILING(C31*(1+$G$18), 100)-ROUND(C31*(1+$G$18), 0)&lt;=50, CEILING(C31*(1+$G$18), 100), CEILING(C31*(1+$G$18), 100)-100))</f>
        <v>80000</v>
      </c>
      <c r="D32" s="22">
        <f t="shared" si="11"/>
        <v>0.9600000000000003</v>
      </c>
      <c r="E32" s="61">
        <f t="shared" si="0"/>
        <v>76800</v>
      </c>
      <c r="F32" s="61">
        <f t="shared" si="1"/>
        <v>156800</v>
      </c>
      <c r="G32" s="61">
        <f t="shared" si="2"/>
        <v>15680</v>
      </c>
      <c r="H32" s="61">
        <f t="shared" si="3"/>
        <v>21952</v>
      </c>
      <c r="I32" s="61">
        <f t="shared" si="4"/>
        <v>37632</v>
      </c>
      <c r="J32" s="62">
        <f>IF(A32="", "", IF(B32=YEAR($G$10), MONTH($G$10), 12))</f>
        <v>12</v>
      </c>
      <c r="K32" s="61">
        <f t="shared" si="5"/>
        <v>188160</v>
      </c>
      <c r="L32" s="61">
        <f t="shared" si="6"/>
        <v>263424</v>
      </c>
      <c r="M32" s="61">
        <f t="shared" si="7"/>
        <v>451584</v>
      </c>
      <c r="N32" s="61">
        <f t="shared" si="8"/>
        <v>1558858</v>
      </c>
      <c r="O32" s="61">
        <f t="shared" si="9"/>
        <v>14549338</v>
      </c>
      <c r="P32" s="61">
        <f t="shared" si="10"/>
        <v>6088095</v>
      </c>
    </row>
    <row r="33" spans="1:16" x14ac:dyDescent="0.25">
      <c r="A33" s="17">
        <f>IF(2036&lt;=YEAR($G$10), 11, "")</f>
        <v>11</v>
      </c>
      <c r="B33" s="17">
        <f>IF(A33="", "", 2036)</f>
        <v>2036</v>
      </c>
      <c r="C33" s="57">
        <f>IF(A33="", "", IF(CEILING(C32*(1+$G$18), 100)-ROUND(C32*(1+$G$18), 0)&lt;=50, CEILING(C32*(1+$G$18), 100), CEILING(C32*(1+$G$18), 100)-100))</f>
        <v>82400</v>
      </c>
      <c r="D33" s="22">
        <f t="shared" si="11"/>
        <v>1.0000000000000002</v>
      </c>
      <c r="E33" s="59">
        <f t="shared" si="0"/>
        <v>82400</v>
      </c>
      <c r="F33" s="59">
        <f t="shared" si="1"/>
        <v>164800</v>
      </c>
      <c r="G33" s="59">
        <f t="shared" si="2"/>
        <v>16480</v>
      </c>
      <c r="H33" s="59">
        <f t="shared" si="3"/>
        <v>23072</v>
      </c>
      <c r="I33" s="59">
        <f t="shared" si="4"/>
        <v>39552</v>
      </c>
      <c r="J33" s="60">
        <f>IF(A33="", "", IF(B33=YEAR($G$10), MONTH($G$10), 12))</f>
        <v>12</v>
      </c>
      <c r="K33" s="59">
        <f t="shared" si="5"/>
        <v>197760</v>
      </c>
      <c r="L33" s="59">
        <f t="shared" si="6"/>
        <v>276864</v>
      </c>
      <c r="M33" s="59">
        <f t="shared" si="7"/>
        <v>474624</v>
      </c>
      <c r="N33" s="59">
        <f t="shared" si="8"/>
        <v>1802875</v>
      </c>
      <c r="O33" s="59">
        <f t="shared" si="9"/>
        <v>16826837</v>
      </c>
      <c r="P33" s="59">
        <f t="shared" si="10"/>
        <v>7040158</v>
      </c>
    </row>
    <row r="34" spans="1:16" x14ac:dyDescent="0.25">
      <c r="A34" s="20">
        <f>IF(2037&lt;=YEAR($G$10), 12, "")</f>
        <v>12</v>
      </c>
      <c r="B34" s="20">
        <f>IF(A34="", "", 2037)</f>
        <v>2037</v>
      </c>
      <c r="C34" s="58">
        <f>IF(A34="", "", IF(CEILING(C33*(1+$G$18), 100)-ROUND(C33*(1+$G$18), 0)&lt;=50, CEILING(C33*(1+$G$18), 100), CEILING(C33*(1+$G$18), 100)-100))</f>
        <v>84900</v>
      </c>
      <c r="D34" s="22">
        <f t="shared" si="11"/>
        <v>1.0400000000000003</v>
      </c>
      <c r="E34" s="61">
        <f t="shared" si="0"/>
        <v>88296</v>
      </c>
      <c r="F34" s="61">
        <f t="shared" si="1"/>
        <v>173196</v>
      </c>
      <c r="G34" s="61">
        <f t="shared" si="2"/>
        <v>17320</v>
      </c>
      <c r="H34" s="61">
        <f t="shared" si="3"/>
        <v>24247</v>
      </c>
      <c r="I34" s="61">
        <f t="shared" si="4"/>
        <v>41567</v>
      </c>
      <c r="J34" s="62">
        <f>IF(A34="", "", IF(B34=YEAR($G$10), MONTH($G$10), 12))</f>
        <v>12</v>
      </c>
      <c r="K34" s="61">
        <f t="shared" si="5"/>
        <v>207840</v>
      </c>
      <c r="L34" s="61">
        <f t="shared" si="6"/>
        <v>290964</v>
      </c>
      <c r="M34" s="61">
        <f t="shared" si="7"/>
        <v>498804</v>
      </c>
      <c r="N34" s="61">
        <f t="shared" si="8"/>
        <v>2079077</v>
      </c>
      <c r="O34" s="61">
        <f t="shared" si="9"/>
        <v>19404718</v>
      </c>
      <c r="P34" s="61">
        <f t="shared" si="10"/>
        <v>8117758</v>
      </c>
    </row>
    <row r="35" spans="1:16" x14ac:dyDescent="0.25">
      <c r="A35" s="17">
        <f>IF(2038&lt;=YEAR($G$10), 13, "")</f>
        <v>13</v>
      </c>
      <c r="B35" s="17">
        <f>IF(A35="", "", 2038)</f>
        <v>2038</v>
      </c>
      <c r="C35" s="57">
        <f>IF(A35="", "", IF(CEILING(C34*(1+$G$18), 100)-ROUND(C34*(1+$G$18), 0)&lt;=50, CEILING(C34*(1+$G$18), 100), CEILING(C34*(1+$G$18), 100)-100))</f>
        <v>87400</v>
      </c>
      <c r="D35" s="22">
        <f t="shared" si="11"/>
        <v>1.0800000000000003</v>
      </c>
      <c r="E35" s="59">
        <f t="shared" si="0"/>
        <v>94392</v>
      </c>
      <c r="F35" s="59">
        <f t="shared" si="1"/>
        <v>181792</v>
      </c>
      <c r="G35" s="59">
        <f t="shared" si="2"/>
        <v>18179</v>
      </c>
      <c r="H35" s="59">
        <f t="shared" si="3"/>
        <v>25451</v>
      </c>
      <c r="I35" s="59">
        <f t="shared" si="4"/>
        <v>43630</v>
      </c>
      <c r="J35" s="60">
        <f>IF(A35="", "", IF(B35=YEAR($G$10), MONTH($G$10), 12))</f>
        <v>12</v>
      </c>
      <c r="K35" s="59">
        <f t="shared" si="5"/>
        <v>218148</v>
      </c>
      <c r="L35" s="59">
        <f t="shared" si="6"/>
        <v>305412</v>
      </c>
      <c r="M35" s="59">
        <f t="shared" si="7"/>
        <v>523560</v>
      </c>
      <c r="N35" s="59">
        <f t="shared" si="8"/>
        <v>2391393</v>
      </c>
      <c r="O35" s="59">
        <f t="shared" si="9"/>
        <v>22319671</v>
      </c>
      <c r="P35" s="59">
        <f t="shared" si="10"/>
        <v>9336215</v>
      </c>
    </row>
    <row r="36" spans="1:16" x14ac:dyDescent="0.25">
      <c r="A36" s="20">
        <f>IF(2039&lt;=YEAR($G$10), 14, "")</f>
        <v>14</v>
      </c>
      <c r="B36" s="20">
        <f>IF(A36="", "", 2039)</f>
        <v>2039</v>
      </c>
      <c r="C36" s="58">
        <f>IF(A36="", "", IF(CEILING(C35*(1+$G$18), 100)-ROUND(C35*(1+$G$18), 0)&lt;=50, CEILING(C35*(1+$G$18), 100), CEILING(C35*(1+$G$18), 100)-100))</f>
        <v>90000</v>
      </c>
      <c r="D36" s="22">
        <f t="shared" si="11"/>
        <v>1.1200000000000003</v>
      </c>
      <c r="E36" s="61">
        <f t="shared" si="0"/>
        <v>100800</v>
      </c>
      <c r="F36" s="61">
        <f t="shared" si="1"/>
        <v>190800</v>
      </c>
      <c r="G36" s="61">
        <f t="shared" si="2"/>
        <v>19080</v>
      </c>
      <c r="H36" s="61">
        <f t="shared" si="3"/>
        <v>26712</v>
      </c>
      <c r="I36" s="61">
        <f t="shared" si="4"/>
        <v>45792</v>
      </c>
      <c r="J36" s="62">
        <f>IF(A36="", "", IF(B36=YEAR($G$10), MONTH($G$10), 12))</f>
        <v>7</v>
      </c>
      <c r="K36" s="61">
        <f t="shared" si="5"/>
        <v>133560</v>
      </c>
      <c r="L36" s="61">
        <f t="shared" si="6"/>
        <v>186984</v>
      </c>
      <c r="M36" s="61">
        <f t="shared" si="7"/>
        <v>320544</v>
      </c>
      <c r="N36" s="61">
        <f t="shared" si="8"/>
        <v>2716826</v>
      </c>
      <c r="O36" s="61">
        <f t="shared" si="9"/>
        <v>25357041</v>
      </c>
      <c r="P36" s="61">
        <f t="shared" si="10"/>
        <v>10606148</v>
      </c>
    </row>
    <row r="37" spans="1:16" x14ac:dyDescent="0.25">
      <c r="A37" s="17" t="str">
        <f>IF(2040&lt;=YEAR($G$10), 15, "")</f>
        <v/>
      </c>
      <c r="B37" s="17" t="str">
        <f>IF(A37="", "", 2040)</f>
        <v/>
      </c>
      <c r="C37" s="18" t="str">
        <f>IF(A37="", "", IF(CEILING(C36*(1+$G$18), 100)-ROUND(C36*(1+$G$18), 0)&lt;=50, CEILING(C36*(1+$G$18), 100), CEILING(C36*(1+$G$18), 100)-100))</f>
        <v/>
      </c>
      <c r="D37" s="22" t="str">
        <f t="shared" si="11"/>
        <v/>
      </c>
      <c r="E37" s="18" t="str">
        <f t="shared" si="0"/>
        <v/>
      </c>
      <c r="F37" s="18" t="str">
        <f t="shared" si="1"/>
        <v/>
      </c>
      <c r="G37" s="18" t="str">
        <f t="shared" si="2"/>
        <v/>
      </c>
      <c r="H37" s="18" t="str">
        <f t="shared" si="3"/>
        <v/>
      </c>
      <c r="I37" s="18" t="str">
        <f t="shared" si="4"/>
        <v/>
      </c>
      <c r="J37" s="17" t="str">
        <f>IF(A37="", "", IF(B37=YEAR($G$10), MONTH($G$10), 12))</f>
        <v/>
      </c>
      <c r="K37" s="18" t="str">
        <f t="shared" si="5"/>
        <v/>
      </c>
      <c r="L37" s="18" t="str">
        <f t="shared" si="6"/>
        <v/>
      </c>
      <c r="M37" s="18" t="str">
        <f t="shared" si="7"/>
        <v/>
      </c>
      <c r="N37" s="18" t="str">
        <f t="shared" si="8"/>
        <v/>
      </c>
      <c r="O37" s="18" t="str">
        <f t="shared" si="9"/>
        <v/>
      </c>
      <c r="P37" s="18" t="str">
        <f t="shared" si="10"/>
        <v/>
      </c>
    </row>
    <row r="38" spans="1:16" x14ac:dyDescent="0.25">
      <c r="A38" s="20" t="str">
        <f>IF(2041&lt;=YEAR($G$10), 16, "")</f>
        <v/>
      </c>
      <c r="B38" s="20" t="str">
        <f>IF(A38="", "", 2041)</f>
        <v/>
      </c>
      <c r="C38" s="21" t="str">
        <f>IF(A38="", "", IF(CEILING(C37*(1+$G$18), 100)-ROUND(C37*(1+$G$18), 0)&lt;=50, CEILING(C37*(1+$G$18), 100), CEILING(C37*(1+$G$18), 100)-100))</f>
        <v/>
      </c>
      <c r="D38" s="22" t="str">
        <f t="shared" si="11"/>
        <v/>
      </c>
      <c r="E38" s="21" t="str">
        <f t="shared" si="0"/>
        <v/>
      </c>
      <c r="F38" s="21" t="str">
        <f t="shared" si="1"/>
        <v/>
      </c>
      <c r="G38" s="21" t="str">
        <f t="shared" si="2"/>
        <v/>
      </c>
      <c r="H38" s="21" t="str">
        <f t="shared" si="3"/>
        <v/>
      </c>
      <c r="I38" s="21" t="str">
        <f t="shared" si="4"/>
        <v/>
      </c>
      <c r="J38" s="20" t="str">
        <f>IF(A38="", "", IF(B38=YEAR($G$10), MONTH($G$10), 12))</f>
        <v/>
      </c>
      <c r="K38" s="21" t="str">
        <f t="shared" si="5"/>
        <v/>
      </c>
      <c r="L38" s="21" t="str">
        <f t="shared" si="6"/>
        <v/>
      </c>
      <c r="M38" s="21" t="str">
        <f t="shared" si="7"/>
        <v/>
      </c>
      <c r="N38" s="21" t="str">
        <f t="shared" si="8"/>
        <v/>
      </c>
      <c r="O38" s="21" t="str">
        <f t="shared" si="9"/>
        <v/>
      </c>
      <c r="P38" s="21" t="str">
        <f t="shared" si="10"/>
        <v/>
      </c>
    </row>
    <row r="39" spans="1:16" x14ac:dyDescent="0.25">
      <c r="A39" s="17" t="str">
        <f>IF(2042&lt;=YEAR($G$10), 17, "")</f>
        <v/>
      </c>
      <c r="B39" s="17" t="str">
        <f>IF(A39="", "", 2042)</f>
        <v/>
      </c>
      <c r="C39" s="18" t="str">
        <f>IF(A39="", "", IF(CEILING(C38*(1+$G$18), 100)-ROUND(C38*(1+$G$18), 0)&lt;=50, CEILING(C38*(1+$G$18), 100), CEILING(C38*(1+$G$18), 100)-100))</f>
        <v/>
      </c>
      <c r="D39" s="22" t="str">
        <f t="shared" si="11"/>
        <v/>
      </c>
      <c r="E39" s="18" t="str">
        <f t="shared" si="0"/>
        <v/>
      </c>
      <c r="F39" s="18" t="str">
        <f t="shared" si="1"/>
        <v/>
      </c>
      <c r="G39" s="18" t="str">
        <f t="shared" si="2"/>
        <v/>
      </c>
      <c r="H39" s="18" t="str">
        <f t="shared" si="3"/>
        <v/>
      </c>
      <c r="I39" s="18" t="str">
        <f t="shared" si="4"/>
        <v/>
      </c>
      <c r="J39" s="17" t="str">
        <f>IF(A39="", "", IF(B39=YEAR($G$10), MONTH($G$10), 12))</f>
        <v/>
      </c>
      <c r="K39" s="18" t="str">
        <f t="shared" si="5"/>
        <v/>
      </c>
      <c r="L39" s="18" t="str">
        <f t="shared" si="6"/>
        <v/>
      </c>
      <c r="M39" s="18" t="str">
        <f t="shared" si="7"/>
        <v/>
      </c>
      <c r="N39" s="18" t="str">
        <f t="shared" si="8"/>
        <v/>
      </c>
      <c r="O39" s="18" t="str">
        <f t="shared" si="9"/>
        <v/>
      </c>
      <c r="P39" s="18" t="str">
        <f t="shared" si="10"/>
        <v/>
      </c>
    </row>
    <row r="40" spans="1:16" x14ac:dyDescent="0.25">
      <c r="A40" s="20" t="str">
        <f>IF(2043&lt;=YEAR($G$10), 18, "")</f>
        <v/>
      </c>
      <c r="B40" s="20" t="str">
        <f>IF(A40="", "", 2043)</f>
        <v/>
      </c>
      <c r="C40" s="21" t="str">
        <f>IF(A40="", "", IF(CEILING(C39*(1+$G$18), 100)-ROUND(C39*(1+$G$18), 0)&lt;=50, CEILING(C39*(1+$G$18), 100), CEILING(C39*(1+$G$18), 100)-100))</f>
        <v/>
      </c>
      <c r="D40" s="22" t="str">
        <f t="shared" si="11"/>
        <v/>
      </c>
      <c r="E40" s="21" t="str">
        <f t="shared" si="0"/>
        <v/>
      </c>
      <c r="F40" s="21" t="str">
        <f t="shared" si="1"/>
        <v/>
      </c>
      <c r="G40" s="21" t="str">
        <f t="shared" si="2"/>
        <v/>
      </c>
      <c r="H40" s="21" t="str">
        <f t="shared" si="3"/>
        <v/>
      </c>
      <c r="I40" s="21" t="str">
        <f t="shared" si="4"/>
        <v/>
      </c>
      <c r="J40" s="20" t="str">
        <f>IF(A40="", "", IF(B40=YEAR($G$10), MONTH($G$10), 12))</f>
        <v/>
      </c>
      <c r="K40" s="21" t="str">
        <f t="shared" si="5"/>
        <v/>
      </c>
      <c r="L40" s="21" t="str">
        <f t="shared" si="6"/>
        <v/>
      </c>
      <c r="M40" s="21" t="str">
        <f t="shared" si="7"/>
        <v/>
      </c>
      <c r="N40" s="21" t="str">
        <f t="shared" si="8"/>
        <v/>
      </c>
      <c r="O40" s="21" t="str">
        <f t="shared" si="9"/>
        <v/>
      </c>
      <c r="P40" s="21" t="str">
        <f t="shared" si="10"/>
        <v/>
      </c>
    </row>
    <row r="41" spans="1:16" x14ac:dyDescent="0.25">
      <c r="A41" s="17" t="str">
        <f>IF(2044&lt;=YEAR($G$10), 19, "")</f>
        <v/>
      </c>
      <c r="B41" s="17" t="str">
        <f>IF(A41="", "", 2044)</f>
        <v/>
      </c>
      <c r="C41" s="18" t="str">
        <f>IF(A41="", "", IF(CEILING(C40*(1+$G$18), 100)-ROUND(C40*(1+$G$18), 0)&lt;=50, CEILING(C40*(1+$G$18), 100), CEILING(C40*(1+$G$18), 100)-100))</f>
        <v/>
      </c>
      <c r="D41" s="22" t="str">
        <f t="shared" si="11"/>
        <v/>
      </c>
      <c r="E41" s="18" t="str">
        <f t="shared" si="0"/>
        <v/>
      </c>
      <c r="F41" s="18" t="str">
        <f t="shared" si="1"/>
        <v/>
      </c>
      <c r="G41" s="18" t="str">
        <f t="shared" si="2"/>
        <v/>
      </c>
      <c r="H41" s="18" t="str">
        <f t="shared" si="3"/>
        <v/>
      </c>
      <c r="I41" s="18" t="str">
        <f t="shared" si="4"/>
        <v/>
      </c>
      <c r="J41" s="17" t="str">
        <f>IF(A41="", "", IF(B41=YEAR($G$10), MONTH($G$10), 12))</f>
        <v/>
      </c>
      <c r="K41" s="18" t="str">
        <f t="shared" si="5"/>
        <v/>
      </c>
      <c r="L41" s="18" t="str">
        <f t="shared" si="6"/>
        <v/>
      </c>
      <c r="M41" s="18" t="str">
        <f t="shared" si="7"/>
        <v/>
      </c>
      <c r="N41" s="18" t="str">
        <f t="shared" si="8"/>
        <v/>
      </c>
      <c r="O41" s="18" t="str">
        <f t="shared" si="9"/>
        <v/>
      </c>
      <c r="P41" s="18" t="str">
        <f t="shared" si="10"/>
        <v/>
      </c>
    </row>
    <row r="42" spans="1:16" x14ac:dyDescent="0.25">
      <c r="A42" s="20" t="str">
        <f>IF(2045&lt;=YEAR($G$10), 20, "")</f>
        <v/>
      </c>
      <c r="B42" s="20" t="str">
        <f>IF(A42="", "", 2045)</f>
        <v/>
      </c>
      <c r="C42" s="21" t="str">
        <f>IF(A42="", "", IF(CEILING(C41*(1+$G$18), 100)-ROUND(C41*(1+$G$18), 0)&lt;=50, CEILING(C41*(1+$G$18), 100), CEILING(C41*(1+$G$18), 100)-100))</f>
        <v/>
      </c>
      <c r="D42" s="22" t="str">
        <f t="shared" si="11"/>
        <v/>
      </c>
      <c r="E42" s="21" t="str">
        <f t="shared" si="0"/>
        <v/>
      </c>
      <c r="F42" s="21" t="str">
        <f t="shared" si="1"/>
        <v/>
      </c>
      <c r="G42" s="21" t="str">
        <f t="shared" si="2"/>
        <v/>
      </c>
      <c r="H42" s="21" t="str">
        <f t="shared" si="3"/>
        <v/>
      </c>
      <c r="I42" s="21" t="str">
        <f t="shared" si="4"/>
        <v/>
      </c>
      <c r="J42" s="20" t="str">
        <f>IF(A42="", "", IF(B42=YEAR($G$10), MONTH($G$10), 12))</f>
        <v/>
      </c>
      <c r="K42" s="21" t="str">
        <f t="shared" si="5"/>
        <v/>
      </c>
      <c r="L42" s="21" t="str">
        <f t="shared" si="6"/>
        <v/>
      </c>
      <c r="M42" s="21" t="str">
        <f t="shared" si="7"/>
        <v/>
      </c>
      <c r="N42" s="21" t="str">
        <f t="shared" si="8"/>
        <v/>
      </c>
      <c r="O42" s="21" t="str">
        <f t="shared" si="9"/>
        <v/>
      </c>
      <c r="P42" s="21" t="str">
        <f t="shared" si="10"/>
        <v/>
      </c>
    </row>
    <row r="43" spans="1:16" x14ac:dyDescent="0.25">
      <c r="A43" s="17" t="str">
        <f>IF(2046&lt;=YEAR($G$10), 21, "")</f>
        <v/>
      </c>
      <c r="B43" s="17" t="str">
        <f>IF(A43="", "", 2046)</f>
        <v/>
      </c>
      <c r="C43" s="18" t="str">
        <f>IF(A43="", "", IF(CEILING(C42*(1+$G$18), 100)-ROUND(C42*(1+$G$18), 0)&lt;=50, CEILING(C42*(1+$G$18), 100), CEILING(C42*(1+$G$18), 100)-100))</f>
        <v/>
      </c>
      <c r="D43" s="22" t="str">
        <f t="shared" si="11"/>
        <v/>
      </c>
      <c r="E43" s="18" t="str">
        <f t="shared" si="0"/>
        <v/>
      </c>
      <c r="F43" s="18" t="str">
        <f t="shared" si="1"/>
        <v/>
      </c>
      <c r="G43" s="18" t="str">
        <f t="shared" si="2"/>
        <v/>
      </c>
      <c r="H43" s="18" t="str">
        <f t="shared" si="3"/>
        <v/>
      </c>
      <c r="I43" s="18" t="str">
        <f t="shared" si="4"/>
        <v/>
      </c>
      <c r="J43" s="17" t="str">
        <f>IF(A43="", "", IF(B43=YEAR($G$10), MONTH($G$10), 12))</f>
        <v/>
      </c>
      <c r="K43" s="18" t="str">
        <f t="shared" si="5"/>
        <v/>
      </c>
      <c r="L43" s="18" t="str">
        <f t="shared" si="6"/>
        <v/>
      </c>
      <c r="M43" s="18" t="str">
        <f t="shared" si="7"/>
        <v/>
      </c>
      <c r="N43" s="18" t="str">
        <f t="shared" si="8"/>
        <v/>
      </c>
      <c r="O43" s="18" t="str">
        <f t="shared" si="9"/>
        <v/>
      </c>
      <c r="P43" s="18" t="str">
        <f t="shared" si="10"/>
        <v/>
      </c>
    </row>
    <row r="44" spans="1:16" x14ac:dyDescent="0.25">
      <c r="A44" s="20" t="str">
        <f>IF(2047&lt;=YEAR($G$10), 22, "")</f>
        <v/>
      </c>
      <c r="B44" s="20" t="str">
        <f>IF(A44="", "", 2047)</f>
        <v/>
      </c>
      <c r="C44" s="21" t="str">
        <f>IF(A44="", "", IF(CEILING(C43*(1+$G$18), 100)-ROUND(C43*(1+$G$18), 0)&lt;=50, CEILING(C43*(1+$G$18), 100), CEILING(C43*(1+$G$18), 100)-100))</f>
        <v/>
      </c>
      <c r="D44" s="22" t="str">
        <f t="shared" si="11"/>
        <v/>
      </c>
      <c r="E44" s="21" t="str">
        <f t="shared" si="0"/>
        <v/>
      </c>
      <c r="F44" s="21" t="str">
        <f t="shared" si="1"/>
        <v/>
      </c>
      <c r="G44" s="21" t="str">
        <f t="shared" si="2"/>
        <v/>
      </c>
      <c r="H44" s="21" t="str">
        <f t="shared" si="3"/>
        <v/>
      </c>
      <c r="I44" s="21" t="str">
        <f t="shared" si="4"/>
        <v/>
      </c>
      <c r="J44" s="20" t="str">
        <f>IF(A44="", "", IF(B44=YEAR($G$10), MONTH($G$10), 12))</f>
        <v/>
      </c>
      <c r="K44" s="21" t="str">
        <f t="shared" si="5"/>
        <v/>
      </c>
      <c r="L44" s="21" t="str">
        <f t="shared" si="6"/>
        <v/>
      </c>
      <c r="M44" s="21" t="str">
        <f t="shared" si="7"/>
        <v/>
      </c>
      <c r="N44" s="21" t="str">
        <f t="shared" si="8"/>
        <v/>
      </c>
      <c r="O44" s="21" t="str">
        <f t="shared" si="9"/>
        <v/>
      </c>
      <c r="P44" s="21" t="str">
        <f t="shared" si="10"/>
        <v/>
      </c>
    </row>
    <row r="45" spans="1:16" x14ac:dyDescent="0.25">
      <c r="A45" s="17" t="str">
        <f>IF(2048&lt;=YEAR($G$10), 23, "")</f>
        <v/>
      </c>
      <c r="B45" s="17" t="str">
        <f>IF(A45="", "", 2048)</f>
        <v/>
      </c>
      <c r="C45" s="18" t="str">
        <f>IF(A45="", "", IF(CEILING(C44*(1+$G$18), 100)-ROUND(C44*(1+$G$18), 0)&lt;=50, CEILING(C44*(1+$G$18), 100), CEILING(C44*(1+$G$18), 100)-100))</f>
        <v/>
      </c>
      <c r="D45" s="22" t="str">
        <f t="shared" si="11"/>
        <v/>
      </c>
      <c r="E45" s="18" t="str">
        <f t="shared" si="0"/>
        <v/>
      </c>
      <c r="F45" s="18" t="str">
        <f t="shared" si="1"/>
        <v/>
      </c>
      <c r="G45" s="18" t="str">
        <f t="shared" si="2"/>
        <v/>
      </c>
      <c r="H45" s="18" t="str">
        <f t="shared" si="3"/>
        <v/>
      </c>
      <c r="I45" s="18" t="str">
        <f t="shared" si="4"/>
        <v/>
      </c>
      <c r="J45" s="17" t="str">
        <f>IF(A45="", "", IF(B45=YEAR($G$10), MONTH($G$10), 12))</f>
        <v/>
      </c>
      <c r="K45" s="18" t="str">
        <f t="shared" si="5"/>
        <v/>
      </c>
      <c r="L45" s="18" t="str">
        <f t="shared" si="6"/>
        <v/>
      </c>
      <c r="M45" s="18" t="str">
        <f t="shared" si="7"/>
        <v/>
      </c>
      <c r="N45" s="18" t="str">
        <f t="shared" si="8"/>
        <v/>
      </c>
      <c r="O45" s="18" t="str">
        <f t="shared" si="9"/>
        <v/>
      </c>
      <c r="P45" s="18" t="str">
        <f t="shared" si="10"/>
        <v/>
      </c>
    </row>
    <row r="46" spans="1:16" x14ac:dyDescent="0.25">
      <c r="A46" s="20" t="str">
        <f>IF(2049&lt;=YEAR($G$10), 24, "")</f>
        <v/>
      </c>
      <c r="B46" s="20" t="str">
        <f>IF(A46="", "", 2049)</f>
        <v/>
      </c>
      <c r="C46" s="21" t="str">
        <f>IF(A46="", "", IF(CEILING(C45*(1+$G$18), 100)-ROUND(C45*(1+$G$18), 0)&lt;=50, CEILING(C45*(1+$G$18), 100), CEILING(C45*(1+$G$18), 100)-100))</f>
        <v/>
      </c>
      <c r="D46" s="22" t="str">
        <f t="shared" si="11"/>
        <v/>
      </c>
      <c r="E46" s="21" t="str">
        <f t="shared" si="0"/>
        <v/>
      </c>
      <c r="F46" s="21" t="str">
        <f t="shared" si="1"/>
        <v/>
      </c>
      <c r="G46" s="21" t="str">
        <f t="shared" si="2"/>
        <v/>
      </c>
      <c r="H46" s="21" t="str">
        <f t="shared" si="3"/>
        <v/>
      </c>
      <c r="I46" s="21" t="str">
        <f t="shared" si="4"/>
        <v/>
      </c>
      <c r="J46" s="20" t="str">
        <f>IF(A46="", "", IF(B46=YEAR($G$10), MONTH($G$10), 12))</f>
        <v/>
      </c>
      <c r="K46" s="21" t="str">
        <f t="shared" si="5"/>
        <v/>
      </c>
      <c r="L46" s="21" t="str">
        <f t="shared" si="6"/>
        <v/>
      </c>
      <c r="M46" s="21" t="str">
        <f t="shared" si="7"/>
        <v/>
      </c>
      <c r="N46" s="21" t="str">
        <f t="shared" si="8"/>
        <v/>
      </c>
      <c r="O46" s="21" t="str">
        <f t="shared" si="9"/>
        <v/>
      </c>
      <c r="P46" s="21" t="str">
        <f t="shared" si="10"/>
        <v/>
      </c>
    </row>
    <row r="47" spans="1:16" x14ac:dyDescent="0.25">
      <c r="A47" s="17" t="str">
        <f>IF(2050&lt;=YEAR($G$10), 25, "")</f>
        <v/>
      </c>
      <c r="B47" s="17" t="str">
        <f>IF(A47="", "", 2050)</f>
        <v/>
      </c>
      <c r="C47" s="18" t="str">
        <f>IF(A47="", "", IF(CEILING(C46*(1+$G$18), 100)-ROUND(C46*(1+$G$18), 0)&lt;=50, CEILING(C46*(1+$G$18), 100), CEILING(C46*(1+$G$18), 100)-100))</f>
        <v/>
      </c>
      <c r="D47" s="22" t="str">
        <f t="shared" si="11"/>
        <v/>
      </c>
      <c r="E47" s="18" t="str">
        <f t="shared" si="0"/>
        <v/>
      </c>
      <c r="F47" s="18" t="str">
        <f t="shared" si="1"/>
        <v/>
      </c>
      <c r="G47" s="18" t="str">
        <f t="shared" si="2"/>
        <v/>
      </c>
      <c r="H47" s="18" t="str">
        <f t="shared" si="3"/>
        <v/>
      </c>
      <c r="I47" s="18" t="str">
        <f t="shared" si="4"/>
        <v/>
      </c>
      <c r="J47" s="17" t="str">
        <f>IF(A47="", "", IF(B47=YEAR($G$10), MONTH($G$10), 12))</f>
        <v/>
      </c>
      <c r="K47" s="18" t="str">
        <f t="shared" si="5"/>
        <v/>
      </c>
      <c r="L47" s="18" t="str">
        <f t="shared" si="6"/>
        <v/>
      </c>
      <c r="M47" s="18" t="str">
        <f t="shared" si="7"/>
        <v/>
      </c>
      <c r="N47" s="18" t="str">
        <f t="shared" si="8"/>
        <v/>
      </c>
      <c r="O47" s="18" t="str">
        <f t="shared" si="9"/>
        <v/>
      </c>
      <c r="P47" s="18" t="str">
        <f t="shared" si="10"/>
        <v/>
      </c>
    </row>
    <row r="48" spans="1:16" x14ac:dyDescent="0.25">
      <c r="A48" s="20" t="str">
        <f>IF(2051&lt;=YEAR($G$10), 26, "")</f>
        <v/>
      </c>
      <c r="B48" s="20" t="str">
        <f>IF(A48="", "", 2051)</f>
        <v/>
      </c>
      <c r="C48" s="21" t="str">
        <f>IF(A48="", "", IF(CEILING(C47*(1+$G$18), 100)-ROUND(C47*(1+$G$18), 0)&lt;=50, CEILING(C47*(1+$G$18), 100), CEILING(C47*(1+$G$18), 100)-100))</f>
        <v/>
      </c>
      <c r="D48" s="22" t="str">
        <f t="shared" si="11"/>
        <v/>
      </c>
      <c r="E48" s="21" t="str">
        <f t="shared" si="0"/>
        <v/>
      </c>
      <c r="F48" s="21" t="str">
        <f t="shared" si="1"/>
        <v/>
      </c>
      <c r="G48" s="21" t="str">
        <f t="shared" si="2"/>
        <v/>
      </c>
      <c r="H48" s="21" t="str">
        <f t="shared" si="3"/>
        <v/>
      </c>
      <c r="I48" s="21" t="str">
        <f t="shared" si="4"/>
        <v/>
      </c>
      <c r="J48" s="20" t="str">
        <f>IF(A48="", "", IF(B48=YEAR($G$10), MONTH($G$10), 12))</f>
        <v/>
      </c>
      <c r="K48" s="21" t="str">
        <f t="shared" si="5"/>
        <v/>
      </c>
      <c r="L48" s="21" t="str">
        <f t="shared" si="6"/>
        <v/>
      </c>
      <c r="M48" s="21" t="str">
        <f t="shared" si="7"/>
        <v/>
      </c>
      <c r="N48" s="21" t="str">
        <f t="shared" si="8"/>
        <v/>
      </c>
      <c r="O48" s="21" t="str">
        <f t="shared" si="9"/>
        <v/>
      </c>
      <c r="P48" s="21" t="str">
        <f t="shared" si="10"/>
        <v/>
      </c>
    </row>
    <row r="49" spans="1:16" x14ac:dyDescent="0.25">
      <c r="A49" s="17" t="str">
        <f>IF(2052&lt;=YEAR($G$10), 27, "")</f>
        <v/>
      </c>
      <c r="B49" s="17" t="str">
        <f>IF(A49="", "", 2052)</f>
        <v/>
      </c>
      <c r="C49" s="18" t="str">
        <f>IF(A49="", "", IF(CEILING(C48*(1+$G$18), 100)-ROUND(C48*(1+$G$18), 0)&lt;=50, CEILING(C48*(1+$G$18), 100), CEILING(C48*(1+$G$18), 100)-100))</f>
        <v/>
      </c>
      <c r="D49" s="22" t="str">
        <f t="shared" si="11"/>
        <v/>
      </c>
      <c r="E49" s="18" t="str">
        <f t="shared" si="0"/>
        <v/>
      </c>
      <c r="F49" s="18" t="str">
        <f t="shared" si="1"/>
        <v/>
      </c>
      <c r="G49" s="18" t="str">
        <f t="shared" si="2"/>
        <v/>
      </c>
      <c r="H49" s="18" t="str">
        <f t="shared" si="3"/>
        <v/>
      </c>
      <c r="I49" s="18" t="str">
        <f t="shared" si="4"/>
        <v/>
      </c>
      <c r="J49" s="17" t="str">
        <f>IF(A49="", "", IF(B49=YEAR($G$10), MONTH($G$10), 12))</f>
        <v/>
      </c>
      <c r="K49" s="18" t="str">
        <f t="shared" si="5"/>
        <v/>
      </c>
      <c r="L49" s="18" t="str">
        <f t="shared" si="6"/>
        <v/>
      </c>
      <c r="M49" s="18" t="str">
        <f t="shared" si="7"/>
        <v/>
      </c>
      <c r="N49" s="18" t="str">
        <f t="shared" si="8"/>
        <v/>
      </c>
      <c r="O49" s="18" t="str">
        <f t="shared" si="9"/>
        <v/>
      </c>
      <c r="P49" s="18" t="str">
        <f t="shared" si="10"/>
        <v/>
      </c>
    </row>
    <row r="50" spans="1:16" x14ac:dyDescent="0.25">
      <c r="A50" s="20" t="str">
        <f>IF(2053&lt;=YEAR($G$10), 28, "")</f>
        <v/>
      </c>
      <c r="B50" s="20" t="str">
        <f>IF(A50="", "", 2053)</f>
        <v/>
      </c>
      <c r="C50" s="21" t="str">
        <f>IF(A50="", "", IF(CEILING(C49*(1+$G$18), 100)-ROUND(C49*(1+$G$18), 0)&lt;=50, CEILING(C49*(1+$G$18), 100), CEILING(C49*(1+$G$18), 100)-100))</f>
        <v/>
      </c>
      <c r="D50" s="22" t="str">
        <f t="shared" si="11"/>
        <v/>
      </c>
      <c r="E50" s="21" t="str">
        <f t="shared" si="0"/>
        <v/>
      </c>
      <c r="F50" s="21" t="str">
        <f t="shared" si="1"/>
        <v/>
      </c>
      <c r="G50" s="21" t="str">
        <f t="shared" si="2"/>
        <v/>
      </c>
      <c r="H50" s="21" t="str">
        <f t="shared" si="3"/>
        <v/>
      </c>
      <c r="I50" s="21" t="str">
        <f t="shared" si="4"/>
        <v/>
      </c>
      <c r="J50" s="20" t="str">
        <f>IF(A50="", "", IF(B50=YEAR($G$10), MONTH($G$10), 12))</f>
        <v/>
      </c>
      <c r="K50" s="21" t="str">
        <f t="shared" si="5"/>
        <v/>
      </c>
      <c r="L50" s="21" t="str">
        <f t="shared" si="6"/>
        <v/>
      </c>
      <c r="M50" s="21" t="str">
        <f t="shared" si="7"/>
        <v/>
      </c>
      <c r="N50" s="21" t="str">
        <f t="shared" si="8"/>
        <v/>
      </c>
      <c r="O50" s="21" t="str">
        <f t="shared" si="9"/>
        <v/>
      </c>
      <c r="P50" s="21" t="str">
        <f t="shared" si="10"/>
        <v/>
      </c>
    </row>
    <row r="51" spans="1:16" x14ac:dyDescent="0.25">
      <c r="A51" s="17" t="str">
        <f>IF(2054&lt;=YEAR($G$10), 29, "")</f>
        <v/>
      </c>
      <c r="B51" s="17" t="str">
        <f>IF(A51="", "", 2054)</f>
        <v/>
      </c>
      <c r="C51" s="18" t="str">
        <f>IF(A51="", "", IF(CEILING(C50*(1+$G$18), 100)-ROUND(C50*(1+$G$18), 0)&lt;=50, CEILING(C50*(1+$G$18), 100), CEILING(C50*(1+$G$18), 100)-100))</f>
        <v/>
      </c>
      <c r="D51" s="22" t="str">
        <f t="shared" si="11"/>
        <v/>
      </c>
      <c r="E51" s="18" t="str">
        <f t="shared" si="0"/>
        <v/>
      </c>
      <c r="F51" s="18" t="str">
        <f t="shared" si="1"/>
        <v/>
      </c>
      <c r="G51" s="18" t="str">
        <f t="shared" si="2"/>
        <v/>
      </c>
      <c r="H51" s="18" t="str">
        <f t="shared" si="3"/>
        <v/>
      </c>
      <c r="I51" s="18" t="str">
        <f t="shared" si="4"/>
        <v/>
      </c>
      <c r="J51" s="17" t="str">
        <f>IF(A51="", "", IF(B51=YEAR($G$10), MONTH($G$10), 12))</f>
        <v/>
      </c>
      <c r="K51" s="18" t="str">
        <f t="shared" si="5"/>
        <v/>
      </c>
      <c r="L51" s="18" t="str">
        <f t="shared" si="6"/>
        <v/>
      </c>
      <c r="M51" s="18" t="str">
        <f t="shared" si="7"/>
        <v/>
      </c>
      <c r="N51" s="18" t="str">
        <f t="shared" si="8"/>
        <v/>
      </c>
      <c r="O51" s="18" t="str">
        <f t="shared" si="9"/>
        <v/>
      </c>
      <c r="P51" s="18" t="str">
        <f t="shared" si="10"/>
        <v/>
      </c>
    </row>
    <row r="52" spans="1:16" x14ac:dyDescent="0.25">
      <c r="A52" s="20" t="str">
        <f>IF(2055&lt;=YEAR($G$10), 30, "")</f>
        <v/>
      </c>
      <c r="B52" s="20" t="str">
        <f>IF(A52="", "", 2055)</f>
        <v/>
      </c>
      <c r="C52" s="21" t="str">
        <f>IF(A52="", "", IF(CEILING(C51*(1+$G$18), 100)-ROUND(C51*(1+$G$18), 0)&lt;=50, CEILING(C51*(1+$G$18), 100), CEILING(C51*(1+$G$18), 100)-100))</f>
        <v/>
      </c>
      <c r="D52" s="22" t="str">
        <f t="shared" si="11"/>
        <v/>
      </c>
      <c r="E52" s="21" t="str">
        <f t="shared" si="0"/>
        <v/>
      </c>
      <c r="F52" s="21" t="str">
        <f t="shared" si="1"/>
        <v/>
      </c>
      <c r="G52" s="21" t="str">
        <f t="shared" si="2"/>
        <v/>
      </c>
      <c r="H52" s="21" t="str">
        <f t="shared" si="3"/>
        <v/>
      </c>
      <c r="I52" s="21" t="str">
        <f t="shared" si="4"/>
        <v/>
      </c>
      <c r="J52" s="20" t="str">
        <f>IF(A52="", "", IF(B52=YEAR($G$10), MONTH($G$10), 12))</f>
        <v/>
      </c>
      <c r="K52" s="21" t="str">
        <f t="shared" si="5"/>
        <v/>
      </c>
      <c r="L52" s="21" t="str">
        <f t="shared" si="6"/>
        <v/>
      </c>
      <c r="M52" s="21" t="str">
        <f t="shared" si="7"/>
        <v/>
      </c>
      <c r="N52" s="21" t="str">
        <f t="shared" si="8"/>
        <v/>
      </c>
      <c r="O52" s="21" t="str">
        <f t="shared" si="9"/>
        <v/>
      </c>
      <c r="P52" s="21" t="str">
        <f t="shared" si="10"/>
        <v/>
      </c>
    </row>
    <row r="53" spans="1:16" x14ac:dyDescent="0.25">
      <c r="A53" s="17" t="str">
        <f>IF(2056&lt;=YEAR($G$10), 31, "")</f>
        <v/>
      </c>
      <c r="B53" s="17" t="str">
        <f>IF(A53="", "", 2056)</f>
        <v/>
      </c>
      <c r="C53" s="18" t="str">
        <f>IF(A53="", "", IF(CEILING(C52*(1+$G$18), 100)-ROUND(C52*(1+$G$18), 0)&lt;=50, CEILING(C52*(1+$G$18), 100), CEILING(C52*(1+$G$18), 100)-100))</f>
        <v/>
      </c>
      <c r="D53" s="22" t="str">
        <f t="shared" si="11"/>
        <v/>
      </c>
      <c r="E53" s="18" t="str">
        <f t="shared" si="0"/>
        <v/>
      </c>
      <c r="F53" s="18" t="str">
        <f t="shared" si="1"/>
        <v/>
      </c>
      <c r="G53" s="18" t="str">
        <f t="shared" si="2"/>
        <v/>
      </c>
      <c r="H53" s="18" t="str">
        <f t="shared" si="3"/>
        <v/>
      </c>
      <c r="I53" s="18" t="str">
        <f t="shared" si="4"/>
        <v/>
      </c>
      <c r="J53" s="17" t="str">
        <f>IF(A53="", "", IF(B53=YEAR($G$10), MONTH($G$10), 12))</f>
        <v/>
      </c>
      <c r="K53" s="18" t="str">
        <f t="shared" si="5"/>
        <v/>
      </c>
      <c r="L53" s="18" t="str">
        <f t="shared" si="6"/>
        <v/>
      </c>
      <c r="M53" s="18" t="str">
        <f t="shared" si="7"/>
        <v/>
      </c>
      <c r="N53" s="18" t="str">
        <f t="shared" si="8"/>
        <v/>
      </c>
      <c r="O53" s="18" t="str">
        <f t="shared" si="9"/>
        <v/>
      </c>
      <c r="P53" s="18" t="str">
        <f t="shared" si="10"/>
        <v/>
      </c>
    </row>
    <row r="54" spans="1:16" x14ac:dyDescent="0.25">
      <c r="A54" s="20" t="str">
        <f>IF(2057&lt;=YEAR($G$10), 32, "")</f>
        <v/>
      </c>
      <c r="B54" s="20" t="str">
        <f>IF(A54="", "", 2057)</f>
        <v/>
      </c>
      <c r="C54" s="21" t="str">
        <f>IF(A54="", "", IF(CEILING(C53*(1+$G$18), 100)-ROUND(C53*(1+$G$18), 0)&lt;=50, CEILING(C53*(1+$G$18), 100), CEILING(C53*(1+$G$18), 100)-100))</f>
        <v/>
      </c>
      <c r="D54" s="22" t="str">
        <f t="shared" si="11"/>
        <v/>
      </c>
      <c r="E54" s="21" t="str">
        <f t="shared" si="0"/>
        <v/>
      </c>
      <c r="F54" s="21" t="str">
        <f t="shared" si="1"/>
        <v/>
      </c>
      <c r="G54" s="21" t="str">
        <f t="shared" si="2"/>
        <v/>
      </c>
      <c r="H54" s="21" t="str">
        <f t="shared" si="3"/>
        <v/>
      </c>
      <c r="I54" s="21" t="str">
        <f t="shared" si="4"/>
        <v/>
      </c>
      <c r="J54" s="20" t="str">
        <f>IF(A54="", "", IF(B54=YEAR($G$10), MONTH($G$10), 12))</f>
        <v/>
      </c>
      <c r="K54" s="21" t="str">
        <f t="shared" si="5"/>
        <v/>
      </c>
      <c r="L54" s="21" t="str">
        <f t="shared" si="6"/>
        <v/>
      </c>
      <c r="M54" s="21" t="str">
        <f t="shared" si="7"/>
        <v/>
      </c>
      <c r="N54" s="21" t="str">
        <f t="shared" si="8"/>
        <v/>
      </c>
      <c r="O54" s="21" t="str">
        <f t="shared" si="9"/>
        <v/>
      </c>
      <c r="P54" s="21" t="str">
        <f t="shared" si="10"/>
        <v/>
      </c>
    </row>
    <row r="55" spans="1:16" x14ac:dyDescent="0.25">
      <c r="A55" s="17" t="str">
        <f>IF(2058&lt;=YEAR($G$10), 33, "")</f>
        <v/>
      </c>
      <c r="B55" s="17" t="str">
        <f>IF(A55="", "", 2058)</f>
        <v/>
      </c>
      <c r="C55" s="18" t="str">
        <f>IF(A55="", "", IF(CEILING(C54*(1+$G$18), 100)-ROUND(C54*(1+$G$18), 0)&lt;=50, CEILING(C54*(1+$G$18), 100), CEILING(C54*(1+$G$18), 100)-100))</f>
        <v/>
      </c>
      <c r="D55" s="22" t="str">
        <f t="shared" si="11"/>
        <v/>
      </c>
      <c r="E55" s="18" t="str">
        <f t="shared" si="0"/>
        <v/>
      </c>
      <c r="F55" s="18" t="str">
        <f t="shared" si="1"/>
        <v/>
      </c>
      <c r="G55" s="18" t="str">
        <f t="shared" si="2"/>
        <v/>
      </c>
      <c r="H55" s="18" t="str">
        <f t="shared" si="3"/>
        <v/>
      </c>
      <c r="I55" s="18" t="str">
        <f t="shared" si="4"/>
        <v/>
      </c>
      <c r="J55" s="17" t="str">
        <f>IF(A55="", "", IF(B55=YEAR($G$10), MONTH($G$10), 12))</f>
        <v/>
      </c>
      <c r="K55" s="18" t="str">
        <f t="shared" si="5"/>
        <v/>
      </c>
      <c r="L55" s="18" t="str">
        <f t="shared" si="6"/>
        <v/>
      </c>
      <c r="M55" s="18" t="str">
        <f t="shared" si="7"/>
        <v/>
      </c>
      <c r="N55" s="18" t="str">
        <f t="shared" si="8"/>
        <v/>
      </c>
      <c r="O55" s="18" t="str">
        <f t="shared" si="9"/>
        <v/>
      </c>
      <c r="P55" s="18" t="str">
        <f t="shared" si="10"/>
        <v/>
      </c>
    </row>
    <row r="56" spans="1:16" x14ac:dyDescent="0.25">
      <c r="A56" s="20" t="str">
        <f>IF(2059&lt;=YEAR($G$10), 34, "")</f>
        <v/>
      </c>
      <c r="B56" s="20" t="str">
        <f>IF(A56="", "", 2059)</f>
        <v/>
      </c>
      <c r="C56" s="21" t="str">
        <f>IF(A56="", "", IF(CEILING(C55*(1+$G$18), 100)-ROUND(C55*(1+$G$18), 0)&lt;=50, CEILING(C55*(1+$G$18), 100), CEILING(C55*(1+$G$18), 100)-100))</f>
        <v/>
      </c>
      <c r="D56" s="22" t="str">
        <f t="shared" si="11"/>
        <v/>
      </c>
      <c r="E56" s="21" t="str">
        <f t="shared" si="0"/>
        <v/>
      </c>
      <c r="F56" s="21" t="str">
        <f t="shared" si="1"/>
        <v/>
      </c>
      <c r="G56" s="21" t="str">
        <f t="shared" si="2"/>
        <v/>
      </c>
      <c r="H56" s="21" t="str">
        <f t="shared" si="3"/>
        <v/>
      </c>
      <c r="I56" s="21" t="str">
        <f t="shared" si="4"/>
        <v/>
      </c>
      <c r="J56" s="20" t="str">
        <f>IF(A56="", "", IF(B56=YEAR($G$10), MONTH($G$10), 12))</f>
        <v/>
      </c>
      <c r="K56" s="21" t="str">
        <f t="shared" si="5"/>
        <v/>
      </c>
      <c r="L56" s="21" t="str">
        <f t="shared" si="6"/>
        <v/>
      </c>
      <c r="M56" s="21" t="str">
        <f t="shared" si="7"/>
        <v/>
      </c>
      <c r="N56" s="21" t="str">
        <f t="shared" si="8"/>
        <v/>
      </c>
      <c r="O56" s="21" t="str">
        <f t="shared" si="9"/>
        <v/>
      </c>
      <c r="P56" s="21" t="str">
        <f t="shared" si="10"/>
        <v/>
      </c>
    </row>
    <row r="57" spans="1:16" x14ac:dyDescent="0.25">
      <c r="A57" s="17" t="str">
        <f>IF(2060&lt;=YEAR($G$10), 35, "")</f>
        <v/>
      </c>
      <c r="B57" s="17" t="str">
        <f>IF(A57="", "", 2060)</f>
        <v/>
      </c>
      <c r="C57" s="18" t="str">
        <f>IF(A57="", "", IF(CEILING(C56*(1+$G$18), 100)-ROUND(C56*(1+$G$18), 0)&lt;=50, CEILING(C56*(1+$G$18), 100), CEILING(C56*(1+$G$18), 100)-100))</f>
        <v/>
      </c>
      <c r="D57" s="22" t="str">
        <f t="shared" si="11"/>
        <v/>
      </c>
      <c r="E57" s="18" t="str">
        <f t="shared" si="0"/>
        <v/>
      </c>
      <c r="F57" s="18" t="str">
        <f t="shared" si="1"/>
        <v/>
      </c>
      <c r="G57" s="18" t="str">
        <f t="shared" si="2"/>
        <v/>
      </c>
      <c r="H57" s="18" t="str">
        <f t="shared" si="3"/>
        <v/>
      </c>
      <c r="I57" s="18" t="str">
        <f t="shared" si="4"/>
        <v/>
      </c>
      <c r="J57" s="17" t="str">
        <f>IF(A57="", "", IF(B57=YEAR($G$10), MONTH($G$10), 12))</f>
        <v/>
      </c>
      <c r="K57" s="18" t="str">
        <f t="shared" si="5"/>
        <v/>
      </c>
      <c r="L57" s="18" t="str">
        <f t="shared" si="6"/>
        <v/>
      </c>
      <c r="M57" s="18" t="str">
        <f t="shared" si="7"/>
        <v/>
      </c>
      <c r="N57" s="18" t="str">
        <f t="shared" si="8"/>
        <v/>
      </c>
      <c r="O57" s="18" t="str">
        <f t="shared" si="9"/>
        <v/>
      </c>
      <c r="P57" s="18" t="str">
        <f t="shared" si="10"/>
        <v/>
      </c>
    </row>
    <row r="58" spans="1:16" x14ac:dyDescent="0.25">
      <c r="A58" s="23"/>
      <c r="B58" s="24" t="s">
        <v>51</v>
      </c>
      <c r="C58" s="23"/>
      <c r="D58" s="23"/>
      <c r="E58" s="23"/>
      <c r="F58" s="23"/>
      <c r="G58" s="23"/>
      <c r="H58" s="23"/>
      <c r="I58" s="23"/>
      <c r="J58" s="23"/>
      <c r="K58" s="25">
        <f>SUM(K23:K57)</f>
        <v>2266716</v>
      </c>
      <c r="L58" s="25">
        <f>SUM(L23:L57)</f>
        <v>3173412</v>
      </c>
      <c r="M58" s="25">
        <f>SUM(M23:M57)</f>
        <v>5440128</v>
      </c>
      <c r="N58" s="25">
        <f>SUM(N23:N57)</f>
        <v>17416913</v>
      </c>
      <c r="O58" s="25">
        <f>LOOKUP(2, 1/(O23:O57&lt;&gt;""), O23:O57)</f>
        <v>25357041</v>
      </c>
      <c r="P58" s="25">
        <f>LOOKUP(2, 1/(P23:P57&lt;&gt;""), P23:P57)</f>
        <v>10606148</v>
      </c>
    </row>
    <row r="61" spans="1:16" ht="24" customHeight="1" x14ac:dyDescent="0.25">
      <c r="A61" s="44" t="s">
        <v>52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</row>
    <row r="63" spans="1:16" ht="80.25" customHeight="1" x14ac:dyDescent="0.25">
      <c r="A63" s="16" t="s">
        <v>53</v>
      </c>
      <c r="B63" s="16" t="s">
        <v>54</v>
      </c>
      <c r="C63" s="16" t="s">
        <v>55</v>
      </c>
      <c r="D63" s="16" t="s">
        <v>56</v>
      </c>
      <c r="E63" s="16" t="s">
        <v>57</v>
      </c>
      <c r="F63" s="16" t="s">
        <v>58</v>
      </c>
      <c r="G63" s="16" t="s">
        <v>59</v>
      </c>
      <c r="I63" s="16" t="s">
        <v>60</v>
      </c>
      <c r="K63" s="16" t="s">
        <v>61</v>
      </c>
      <c r="M63" s="16" t="s">
        <v>62</v>
      </c>
      <c r="N63" s="75">
        <v>0.06</v>
      </c>
      <c r="O63" s="16" t="s">
        <v>63</v>
      </c>
    </row>
    <row r="64" spans="1:16" x14ac:dyDescent="0.25">
      <c r="A64" s="17">
        <v>1</v>
      </c>
      <c r="B64" s="17">
        <f>YEAR($G$10)+1</f>
        <v>2040</v>
      </c>
      <c r="C64" s="17">
        <f>$G$9+1</f>
        <v>59</v>
      </c>
      <c r="D64" s="59">
        <f>$O$10</f>
        <v>45000</v>
      </c>
      <c r="E64" s="19">
        <f>$O$7+$G$18</f>
        <v>1.1500000000000004</v>
      </c>
      <c r="F64" s="59">
        <f t="shared" ref="F64:F83" si="12">ROUND(D64*(1+E64), 0)</f>
        <v>96750</v>
      </c>
      <c r="G64" s="59">
        <f t="shared" ref="G64:G83" si="13">F64*12</f>
        <v>1161000</v>
      </c>
      <c r="H64" s="64"/>
      <c r="I64" s="59">
        <f>G64</f>
        <v>1161000</v>
      </c>
      <c r="J64" s="64"/>
      <c r="K64" s="59">
        <f>MAX(0, $O$9-I64)</f>
        <v>9445148</v>
      </c>
      <c r="L64" s="64"/>
      <c r="M64" s="59">
        <f>MAX(0, $O$8-I64)</f>
        <v>24196041</v>
      </c>
      <c r="N64" s="61">
        <f>+ROUND(M64*$N$63,0)</f>
        <v>1451762</v>
      </c>
      <c r="O64" s="26" t="str">
        <f>IF(I64&lt;=$O$9, "स्वतःचा हिस्सा चालू", IF(I64&lt;=$O$8,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65" spans="1:15" x14ac:dyDescent="0.25">
      <c r="A65" s="20">
        <v>2</v>
      </c>
      <c r="B65" s="20">
        <f t="shared" ref="B65:B83" si="14">B64+1</f>
        <v>2041</v>
      </c>
      <c r="C65" s="20">
        <f t="shared" ref="C65:C83" si="15">C64+1</f>
        <v>60</v>
      </c>
      <c r="D65" s="61">
        <f t="shared" ref="D65:D83" si="16">D64</f>
        <v>45000</v>
      </c>
      <c r="E65" s="22">
        <f>E64+$G$18</f>
        <v>1.1800000000000004</v>
      </c>
      <c r="F65" s="61">
        <f t="shared" si="12"/>
        <v>98100</v>
      </c>
      <c r="G65" s="61">
        <f t="shared" si="13"/>
        <v>1177200</v>
      </c>
      <c r="H65" s="64"/>
      <c r="I65" s="61">
        <f>I64+G65</f>
        <v>2338200</v>
      </c>
      <c r="J65" s="64"/>
      <c r="K65" s="61">
        <f>MAX(0, $O$9-I65)</f>
        <v>8267948</v>
      </c>
      <c r="L65" s="61">
        <f>+N64</f>
        <v>1451762</v>
      </c>
      <c r="M65" s="61">
        <f>MAX(0, $O$8-I65)+L65</f>
        <v>24470603</v>
      </c>
      <c r="N65" s="61">
        <f t="shared" ref="N65:N83" si="17">+ROUND(M65*$N$63,0)</f>
        <v>1468236</v>
      </c>
      <c r="O65" s="27" t="str">
        <f>IF(I65&lt;=$O$9, "स्वतःचा हिस्सा चालू", IF(I65&lt;=$O$8,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66" spans="1:15" x14ac:dyDescent="0.25">
      <c r="A66" s="17">
        <v>3</v>
      </c>
      <c r="B66" s="17">
        <f t="shared" si="14"/>
        <v>2042</v>
      </c>
      <c r="C66" s="17">
        <f t="shared" si="15"/>
        <v>61</v>
      </c>
      <c r="D66" s="59">
        <f t="shared" si="16"/>
        <v>45000</v>
      </c>
      <c r="E66" s="22">
        <f>E65+$G$18</f>
        <v>1.2100000000000004</v>
      </c>
      <c r="F66" s="59">
        <f t="shared" si="12"/>
        <v>99450</v>
      </c>
      <c r="G66" s="59">
        <f t="shared" si="13"/>
        <v>1193400</v>
      </c>
      <c r="H66" s="64"/>
      <c r="I66" s="59">
        <f>I65+G66</f>
        <v>3531600</v>
      </c>
      <c r="J66" s="64"/>
      <c r="K66" s="59">
        <f>MAX(0, $O$9-I66)</f>
        <v>7074548</v>
      </c>
      <c r="L66" s="61">
        <f>+N65</f>
        <v>1468236</v>
      </c>
      <c r="M66" s="61">
        <f t="shared" ref="M66:M83" si="18">MAX(0, $O$8-I66)+L66</f>
        <v>23293677</v>
      </c>
      <c r="N66" s="61">
        <f t="shared" si="17"/>
        <v>1397621</v>
      </c>
      <c r="O66" s="26" t="str">
        <f>IF(I66&lt;=$O$9, "स्वतःचा हिस्सा चालू", IF(I66&lt;=$O$8,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67" spans="1:15" x14ac:dyDescent="0.25">
      <c r="A67" s="20">
        <v>4</v>
      </c>
      <c r="B67" s="20">
        <f t="shared" si="14"/>
        <v>2043</v>
      </c>
      <c r="C67" s="20">
        <f t="shared" si="15"/>
        <v>62</v>
      </c>
      <c r="D67" s="61">
        <f t="shared" si="16"/>
        <v>45000</v>
      </c>
      <c r="E67" s="22">
        <f>E66+$G$18</f>
        <v>1.2400000000000004</v>
      </c>
      <c r="F67" s="61">
        <f t="shared" si="12"/>
        <v>100800</v>
      </c>
      <c r="G67" s="61">
        <f t="shared" si="13"/>
        <v>1209600</v>
      </c>
      <c r="H67" s="64"/>
      <c r="I67" s="61">
        <f>I66+G67</f>
        <v>4741200</v>
      </c>
      <c r="J67" s="64"/>
      <c r="K67" s="61">
        <f>MAX(0, $O$9-I67)</f>
        <v>5864948</v>
      </c>
      <c r="L67" s="61">
        <f t="shared" ref="L66:L83" si="19">+N66</f>
        <v>1397621</v>
      </c>
      <c r="M67" s="61">
        <f t="shared" si="18"/>
        <v>22013462</v>
      </c>
      <c r="N67" s="61">
        <f t="shared" si="17"/>
        <v>1320808</v>
      </c>
      <c r="O67" s="27" t="str">
        <f>IF(I67&lt;=$O$9, "स्वतःचा हिस्सा चालू", IF(I67&lt;=$O$8,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68" spans="1:15" x14ac:dyDescent="0.25">
      <c r="A68" s="17">
        <v>5</v>
      </c>
      <c r="B68" s="17">
        <f t="shared" si="14"/>
        <v>2044</v>
      </c>
      <c r="C68" s="17">
        <f t="shared" si="15"/>
        <v>63</v>
      </c>
      <c r="D68" s="59">
        <f t="shared" si="16"/>
        <v>45000</v>
      </c>
      <c r="E68" s="22">
        <f>E67+$G$18</f>
        <v>1.2700000000000005</v>
      </c>
      <c r="F68" s="59">
        <f t="shared" si="12"/>
        <v>102150</v>
      </c>
      <c r="G68" s="59">
        <f t="shared" si="13"/>
        <v>1225800</v>
      </c>
      <c r="H68" s="64"/>
      <c r="I68" s="59">
        <f>I67+G68</f>
        <v>5967000</v>
      </c>
      <c r="J68" s="64"/>
      <c r="K68" s="59">
        <f>MAX(0, $O$9-I68)</f>
        <v>4639148</v>
      </c>
      <c r="L68" s="61">
        <f t="shared" si="19"/>
        <v>1320808</v>
      </c>
      <c r="M68" s="61">
        <f t="shared" si="18"/>
        <v>20710849</v>
      </c>
      <c r="N68" s="61">
        <f t="shared" si="17"/>
        <v>1242651</v>
      </c>
      <c r="O68" s="26" t="str">
        <f>IF(I68&lt;=$O$9, "स्वतःचा हिस्सा चालू", IF(I68&lt;=$O$8,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69" spans="1:15" x14ac:dyDescent="0.25">
      <c r="A69" s="20">
        <v>6</v>
      </c>
      <c r="B69" s="20">
        <f t="shared" si="14"/>
        <v>2045</v>
      </c>
      <c r="C69" s="20">
        <f t="shared" si="15"/>
        <v>64</v>
      </c>
      <c r="D69" s="61">
        <f t="shared" si="16"/>
        <v>45000</v>
      </c>
      <c r="E69" s="22">
        <f>E68+$G$18</f>
        <v>1.3000000000000005</v>
      </c>
      <c r="F69" s="61">
        <f t="shared" si="12"/>
        <v>103500</v>
      </c>
      <c r="G69" s="61">
        <f t="shared" si="13"/>
        <v>1242000</v>
      </c>
      <c r="H69" s="64"/>
      <c r="I69" s="61">
        <f>I68+G69</f>
        <v>7209000</v>
      </c>
      <c r="J69" s="64"/>
      <c r="K69" s="61">
        <f>MAX(0, $O$9-I69)</f>
        <v>3397148</v>
      </c>
      <c r="L69" s="61">
        <f t="shared" si="19"/>
        <v>1242651</v>
      </c>
      <c r="M69" s="61">
        <f t="shared" si="18"/>
        <v>19390692</v>
      </c>
      <c r="N69" s="61">
        <f t="shared" si="17"/>
        <v>1163442</v>
      </c>
      <c r="O69" s="27" t="str">
        <f>IF(I69&lt;=$O$9, "स्वतःचा हिस्सा चालू", IF(I69&lt;=$O$8,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70" spans="1:15" x14ac:dyDescent="0.25">
      <c r="A70" s="17">
        <v>7</v>
      </c>
      <c r="B70" s="17">
        <f t="shared" si="14"/>
        <v>2046</v>
      </c>
      <c r="C70" s="17">
        <f t="shared" si="15"/>
        <v>65</v>
      </c>
      <c r="D70" s="59">
        <f t="shared" si="16"/>
        <v>45000</v>
      </c>
      <c r="E70" s="22">
        <f>E69+$G$18</f>
        <v>1.3300000000000005</v>
      </c>
      <c r="F70" s="59">
        <f t="shared" si="12"/>
        <v>104850</v>
      </c>
      <c r="G70" s="59">
        <f t="shared" si="13"/>
        <v>1258200</v>
      </c>
      <c r="H70" s="64"/>
      <c r="I70" s="59">
        <f>I69+G70</f>
        <v>8467200</v>
      </c>
      <c r="J70" s="64"/>
      <c r="K70" s="59">
        <f>MAX(0, $O$9-I70)</f>
        <v>2138948</v>
      </c>
      <c r="L70" s="61">
        <f t="shared" si="19"/>
        <v>1163442</v>
      </c>
      <c r="M70" s="61">
        <f t="shared" si="18"/>
        <v>18053283</v>
      </c>
      <c r="N70" s="61">
        <f t="shared" si="17"/>
        <v>1083197</v>
      </c>
      <c r="O70" s="26" t="str">
        <f>IF(I70&lt;=$O$9, "स्वतःचा हिस्सा चालू", IF(I70&lt;=$O$8,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71" spans="1:15" x14ac:dyDescent="0.25">
      <c r="A71" s="20">
        <v>8</v>
      </c>
      <c r="B71" s="20">
        <f t="shared" si="14"/>
        <v>2047</v>
      </c>
      <c r="C71" s="20">
        <f t="shared" si="15"/>
        <v>66</v>
      </c>
      <c r="D71" s="61">
        <f t="shared" si="16"/>
        <v>45000</v>
      </c>
      <c r="E71" s="22">
        <f>E70+$G$18</f>
        <v>1.3600000000000005</v>
      </c>
      <c r="F71" s="61">
        <f t="shared" si="12"/>
        <v>106200</v>
      </c>
      <c r="G71" s="61">
        <f t="shared" si="13"/>
        <v>1274400</v>
      </c>
      <c r="H71" s="64"/>
      <c r="I71" s="61">
        <f>I70+G71</f>
        <v>9741600</v>
      </c>
      <c r="J71" s="64"/>
      <c r="K71" s="61">
        <f>MAX(0, $O$9-I71)</f>
        <v>864548</v>
      </c>
      <c r="L71" s="61">
        <f t="shared" si="19"/>
        <v>1083197</v>
      </c>
      <c r="M71" s="61">
        <f t="shared" si="18"/>
        <v>16698638</v>
      </c>
      <c r="N71" s="61">
        <f t="shared" si="17"/>
        <v>1001918</v>
      </c>
      <c r="O71" s="27" t="str">
        <f>IF(I71&lt;=$O$9, "स्वतःचा हिस्सा चालू", IF(I71&lt;=$O$8,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72" spans="1:15" x14ac:dyDescent="0.25">
      <c r="A72" s="17">
        <v>9</v>
      </c>
      <c r="B72" s="17">
        <f t="shared" si="14"/>
        <v>2048</v>
      </c>
      <c r="C72" s="17">
        <f t="shared" si="15"/>
        <v>67</v>
      </c>
      <c r="D72" s="59">
        <f t="shared" si="16"/>
        <v>45000</v>
      </c>
      <c r="E72" s="22">
        <f>E71+$G$18</f>
        <v>1.3900000000000006</v>
      </c>
      <c r="F72" s="59">
        <f t="shared" si="12"/>
        <v>107550</v>
      </c>
      <c r="G72" s="59">
        <f t="shared" si="13"/>
        <v>1290600</v>
      </c>
      <c r="H72" s="64"/>
      <c r="I72" s="59">
        <f>I71+G72</f>
        <v>11032200</v>
      </c>
      <c r="J72" s="64"/>
      <c r="K72" s="59">
        <f>MAX(0, $O$9-I72)</f>
        <v>0</v>
      </c>
      <c r="L72" s="61">
        <f t="shared" si="19"/>
        <v>1001918</v>
      </c>
      <c r="M72" s="61">
        <f t="shared" si="18"/>
        <v>15326759</v>
      </c>
      <c r="N72" s="61">
        <f t="shared" si="17"/>
        <v>919606</v>
      </c>
      <c r="O72" s="26" t="str">
        <f>IF(I72&lt;=$O$9, "स्वतःचा हिस्सा चालू", IF(I72&lt;=$O$8,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3" spans="1:15" x14ac:dyDescent="0.25">
      <c r="A73" s="20">
        <v>10</v>
      </c>
      <c r="B73" s="20">
        <f t="shared" si="14"/>
        <v>2049</v>
      </c>
      <c r="C73" s="20">
        <f t="shared" si="15"/>
        <v>68</v>
      </c>
      <c r="D73" s="61">
        <f t="shared" si="16"/>
        <v>45000</v>
      </c>
      <c r="E73" s="22">
        <f>E72+$G$18</f>
        <v>1.4200000000000006</v>
      </c>
      <c r="F73" s="61">
        <f t="shared" si="12"/>
        <v>108900</v>
      </c>
      <c r="G73" s="61">
        <f t="shared" si="13"/>
        <v>1306800</v>
      </c>
      <c r="H73" s="64"/>
      <c r="I73" s="61">
        <f>I72+G73</f>
        <v>12339000</v>
      </c>
      <c r="J73" s="64"/>
      <c r="K73" s="61">
        <f>MAX(0, $O$9-I73)</f>
        <v>0</v>
      </c>
      <c r="L73" s="61">
        <f t="shared" si="19"/>
        <v>919606</v>
      </c>
      <c r="M73" s="61">
        <f t="shared" si="18"/>
        <v>13937647</v>
      </c>
      <c r="N73" s="61">
        <f t="shared" si="17"/>
        <v>836259</v>
      </c>
      <c r="O73" s="27" t="str">
        <f>IF(I73&lt;=$O$9, "स्वतःचा हिस्सा चालू", IF(I73&lt;=$O$8,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4" spans="1:15" x14ac:dyDescent="0.25">
      <c r="A74" s="17">
        <v>11</v>
      </c>
      <c r="B74" s="17">
        <f t="shared" si="14"/>
        <v>2050</v>
      </c>
      <c r="C74" s="17">
        <f t="shared" si="15"/>
        <v>69</v>
      </c>
      <c r="D74" s="59">
        <f t="shared" si="16"/>
        <v>45000</v>
      </c>
      <c r="E74" s="22">
        <f>E73+$G$18</f>
        <v>1.4500000000000006</v>
      </c>
      <c r="F74" s="59">
        <f t="shared" si="12"/>
        <v>110250</v>
      </c>
      <c r="G74" s="59">
        <f t="shared" si="13"/>
        <v>1323000</v>
      </c>
      <c r="H74" s="64"/>
      <c r="I74" s="59">
        <f>I73+G74</f>
        <v>13662000</v>
      </c>
      <c r="J74" s="64"/>
      <c r="K74" s="59">
        <f>MAX(0, $O$9-I74)</f>
        <v>0</v>
      </c>
      <c r="L74" s="61">
        <f t="shared" si="19"/>
        <v>836259</v>
      </c>
      <c r="M74" s="61">
        <f t="shared" si="18"/>
        <v>12531300</v>
      </c>
      <c r="N74" s="61">
        <f t="shared" si="17"/>
        <v>751878</v>
      </c>
      <c r="O74" s="26" t="str">
        <f>IF(I74&lt;=$O$9, "स्वतःचा हिस्सा चालू", IF(I74&lt;=$O$8,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5" spans="1:15" x14ac:dyDescent="0.25">
      <c r="A75" s="20">
        <v>12</v>
      </c>
      <c r="B75" s="20">
        <f t="shared" si="14"/>
        <v>2051</v>
      </c>
      <c r="C75" s="20">
        <f t="shared" si="15"/>
        <v>70</v>
      </c>
      <c r="D75" s="61">
        <f t="shared" si="16"/>
        <v>45000</v>
      </c>
      <c r="E75" s="22">
        <f>E74+$G$18</f>
        <v>1.4800000000000006</v>
      </c>
      <c r="F75" s="61">
        <f t="shared" si="12"/>
        <v>111600</v>
      </c>
      <c r="G75" s="61">
        <f t="shared" si="13"/>
        <v>1339200</v>
      </c>
      <c r="H75" s="64"/>
      <c r="I75" s="61">
        <f>I74+G75</f>
        <v>15001200</v>
      </c>
      <c r="J75" s="64"/>
      <c r="K75" s="61">
        <f>MAX(0, $O$9-I75)</f>
        <v>0</v>
      </c>
      <c r="L75" s="61">
        <f t="shared" si="19"/>
        <v>751878</v>
      </c>
      <c r="M75" s="61">
        <f t="shared" si="18"/>
        <v>11107719</v>
      </c>
      <c r="N75" s="61">
        <f t="shared" si="17"/>
        <v>666463</v>
      </c>
      <c r="O75" s="27" t="str">
        <f>IF(I75&lt;=$O$9, "स्वतःचा हिस्सा चालू", IF(I75&lt;=$O$8,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6" spans="1:15" x14ac:dyDescent="0.25">
      <c r="A76" s="17">
        <v>13</v>
      </c>
      <c r="B76" s="17">
        <f t="shared" si="14"/>
        <v>2052</v>
      </c>
      <c r="C76" s="17">
        <f t="shared" si="15"/>
        <v>71</v>
      </c>
      <c r="D76" s="59">
        <f t="shared" si="16"/>
        <v>45000</v>
      </c>
      <c r="E76" s="22">
        <f>E75+$G$18</f>
        <v>1.5100000000000007</v>
      </c>
      <c r="F76" s="59">
        <f t="shared" si="12"/>
        <v>112950</v>
      </c>
      <c r="G76" s="59">
        <f t="shared" si="13"/>
        <v>1355400</v>
      </c>
      <c r="H76" s="64"/>
      <c r="I76" s="59">
        <f>I75+G76</f>
        <v>16356600</v>
      </c>
      <c r="J76" s="64"/>
      <c r="K76" s="59">
        <f>MAX(0, $O$9-I76)</f>
        <v>0</v>
      </c>
      <c r="L76" s="61">
        <f t="shared" si="19"/>
        <v>666463</v>
      </c>
      <c r="M76" s="61">
        <f t="shared" si="18"/>
        <v>9666904</v>
      </c>
      <c r="N76" s="61">
        <f t="shared" si="17"/>
        <v>580014</v>
      </c>
      <c r="O76" s="26" t="str">
        <f>IF(I76&lt;=$O$9, "स्वतःचा हिस्सा चालू", IF(I76&lt;=$O$8,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7" spans="1:15" x14ac:dyDescent="0.25">
      <c r="A77" s="20">
        <v>14</v>
      </c>
      <c r="B77" s="20">
        <f t="shared" si="14"/>
        <v>2053</v>
      </c>
      <c r="C77" s="20">
        <f t="shared" si="15"/>
        <v>72</v>
      </c>
      <c r="D77" s="61">
        <f t="shared" si="16"/>
        <v>45000</v>
      </c>
      <c r="E77" s="22">
        <f>E76+$G$18</f>
        <v>1.5400000000000007</v>
      </c>
      <c r="F77" s="61">
        <f t="shared" si="12"/>
        <v>114300</v>
      </c>
      <c r="G77" s="61">
        <f t="shared" si="13"/>
        <v>1371600</v>
      </c>
      <c r="H77" s="64"/>
      <c r="I77" s="61">
        <f>I76+G77</f>
        <v>17728200</v>
      </c>
      <c r="J77" s="64"/>
      <c r="K77" s="61">
        <f>MAX(0, $O$9-I77)</f>
        <v>0</v>
      </c>
      <c r="L77" s="61">
        <f t="shared" si="19"/>
        <v>580014</v>
      </c>
      <c r="M77" s="61">
        <f t="shared" si="18"/>
        <v>8208855</v>
      </c>
      <c r="N77" s="61">
        <f t="shared" si="17"/>
        <v>492531</v>
      </c>
      <c r="O77" s="27" t="str">
        <f>IF(I77&lt;=$O$9, "स्वतःचा हिस्सा चालू", IF(I77&lt;=$O$8,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8" spans="1:15" x14ac:dyDescent="0.25">
      <c r="A78" s="17">
        <v>15</v>
      </c>
      <c r="B78" s="17">
        <f t="shared" si="14"/>
        <v>2054</v>
      </c>
      <c r="C78" s="17">
        <f t="shared" si="15"/>
        <v>73</v>
      </c>
      <c r="D78" s="59">
        <f t="shared" si="16"/>
        <v>45000</v>
      </c>
      <c r="E78" s="22">
        <f>E77+$G$18</f>
        <v>1.5700000000000007</v>
      </c>
      <c r="F78" s="59">
        <f t="shared" si="12"/>
        <v>115650</v>
      </c>
      <c r="G78" s="59">
        <f t="shared" si="13"/>
        <v>1387800</v>
      </c>
      <c r="H78" s="64"/>
      <c r="I78" s="59">
        <f>I77+G78</f>
        <v>19116000</v>
      </c>
      <c r="J78" s="64"/>
      <c r="K78" s="59">
        <f>MAX(0, $O$9-I78)</f>
        <v>0</v>
      </c>
      <c r="L78" s="61">
        <f t="shared" si="19"/>
        <v>492531</v>
      </c>
      <c r="M78" s="61">
        <f t="shared" si="18"/>
        <v>6733572</v>
      </c>
      <c r="N78" s="61">
        <f t="shared" si="17"/>
        <v>404014</v>
      </c>
      <c r="O78" s="26" t="str">
        <f>IF(I78&lt;=$O$9, "स्वतःचा हिस्सा चालू", IF(I78&lt;=$O$8,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9" spans="1:15" x14ac:dyDescent="0.25">
      <c r="A79" s="20">
        <v>16</v>
      </c>
      <c r="B79" s="20">
        <f t="shared" si="14"/>
        <v>2055</v>
      </c>
      <c r="C79" s="20">
        <f t="shared" si="15"/>
        <v>74</v>
      </c>
      <c r="D79" s="61">
        <f t="shared" si="16"/>
        <v>45000</v>
      </c>
      <c r="E79" s="22">
        <f>E78+$G$18</f>
        <v>1.6000000000000008</v>
      </c>
      <c r="F79" s="61">
        <f t="shared" si="12"/>
        <v>117000</v>
      </c>
      <c r="G79" s="61">
        <f t="shared" si="13"/>
        <v>1404000</v>
      </c>
      <c r="H79" s="64"/>
      <c r="I79" s="61">
        <f>I78+G79</f>
        <v>20520000</v>
      </c>
      <c r="J79" s="64"/>
      <c r="K79" s="61">
        <f>MAX(0, $O$9-I79)</f>
        <v>0</v>
      </c>
      <c r="L79" s="61">
        <f t="shared" si="19"/>
        <v>404014</v>
      </c>
      <c r="M79" s="61">
        <f t="shared" si="18"/>
        <v>5241055</v>
      </c>
      <c r="N79" s="61">
        <f t="shared" si="17"/>
        <v>314463</v>
      </c>
      <c r="O79" s="27" t="str">
        <f>IF(I79&lt;=$O$9, "स्वतःचा हिस्सा चालू", IF(I79&lt;=$O$8,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80" spans="1:15" x14ac:dyDescent="0.25">
      <c r="A80" s="17">
        <v>17</v>
      </c>
      <c r="B80" s="17">
        <f t="shared" si="14"/>
        <v>2056</v>
      </c>
      <c r="C80" s="17">
        <f t="shared" si="15"/>
        <v>75</v>
      </c>
      <c r="D80" s="59">
        <f t="shared" si="16"/>
        <v>45000</v>
      </c>
      <c r="E80" s="22">
        <f>E79+$G$18</f>
        <v>1.6300000000000008</v>
      </c>
      <c r="F80" s="59">
        <f t="shared" si="12"/>
        <v>118350</v>
      </c>
      <c r="G80" s="59">
        <f t="shared" si="13"/>
        <v>1420200</v>
      </c>
      <c r="H80" s="64"/>
      <c r="I80" s="59">
        <f>I79+G80</f>
        <v>21940200</v>
      </c>
      <c r="J80" s="64"/>
      <c r="K80" s="59">
        <f>MAX(0, $O$9-I80)</f>
        <v>0</v>
      </c>
      <c r="L80" s="61">
        <f t="shared" si="19"/>
        <v>314463</v>
      </c>
      <c r="M80" s="61">
        <f t="shared" si="18"/>
        <v>3731304</v>
      </c>
      <c r="N80" s="61">
        <f t="shared" si="17"/>
        <v>223878</v>
      </c>
      <c r="O80" s="26" t="str">
        <f>IF(I80&lt;=$O$9, "स्वतःचा हिस्सा चालू", IF(I80&lt;=$O$8,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81" spans="1:15" x14ac:dyDescent="0.25">
      <c r="A81" s="20">
        <v>18</v>
      </c>
      <c r="B81" s="20">
        <f t="shared" si="14"/>
        <v>2057</v>
      </c>
      <c r="C81" s="20">
        <f t="shared" si="15"/>
        <v>76</v>
      </c>
      <c r="D81" s="61">
        <f t="shared" si="16"/>
        <v>45000</v>
      </c>
      <c r="E81" s="22">
        <f>E80+$G$18</f>
        <v>1.6600000000000008</v>
      </c>
      <c r="F81" s="61">
        <f t="shared" si="12"/>
        <v>119700</v>
      </c>
      <c r="G81" s="61">
        <f t="shared" si="13"/>
        <v>1436400</v>
      </c>
      <c r="H81" s="64"/>
      <c r="I81" s="61">
        <f>I80+G81</f>
        <v>23376600</v>
      </c>
      <c r="J81" s="64"/>
      <c r="K81" s="61">
        <f>MAX(0, $O$9-I81)</f>
        <v>0</v>
      </c>
      <c r="L81" s="61">
        <f t="shared" si="19"/>
        <v>223878</v>
      </c>
      <c r="M81" s="61">
        <f t="shared" si="18"/>
        <v>2204319</v>
      </c>
      <c r="N81" s="61">
        <f t="shared" si="17"/>
        <v>132259</v>
      </c>
      <c r="O81" s="27" t="str">
        <f>IF(I81&lt;=$O$9, "स्वतःचा हिस्सा चालू", IF(I81&lt;=$O$8,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82" spans="1:15" x14ac:dyDescent="0.25">
      <c r="A82" s="17">
        <v>19</v>
      </c>
      <c r="B82" s="17">
        <f t="shared" si="14"/>
        <v>2058</v>
      </c>
      <c r="C82" s="17">
        <f t="shared" si="15"/>
        <v>77</v>
      </c>
      <c r="D82" s="59">
        <f t="shared" si="16"/>
        <v>45000</v>
      </c>
      <c r="E82" s="22">
        <f>E81+$G$18</f>
        <v>1.6900000000000008</v>
      </c>
      <c r="F82" s="59">
        <f t="shared" si="12"/>
        <v>121050</v>
      </c>
      <c r="G82" s="59">
        <f t="shared" si="13"/>
        <v>1452600</v>
      </c>
      <c r="H82" s="64"/>
      <c r="I82" s="59">
        <f>I81+G82</f>
        <v>24829200</v>
      </c>
      <c r="J82" s="64"/>
      <c r="K82" s="59">
        <f>MAX(0, $O$9-I82)</f>
        <v>0</v>
      </c>
      <c r="L82" s="61">
        <f t="shared" si="19"/>
        <v>132259</v>
      </c>
      <c r="M82" s="61">
        <f t="shared" si="18"/>
        <v>660100</v>
      </c>
      <c r="N82" s="61">
        <f t="shared" si="17"/>
        <v>39606</v>
      </c>
      <c r="O82" s="26" t="str">
        <f>IF(I82&lt;=$O$9, "स्वतःचा हिस्सा चालू", IF(I82&lt;=$O$8,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83" spans="1:15" x14ac:dyDescent="0.25">
      <c r="A83" s="20">
        <v>20</v>
      </c>
      <c r="B83" s="20">
        <f t="shared" si="14"/>
        <v>2059</v>
      </c>
      <c r="C83" s="20">
        <f t="shared" si="15"/>
        <v>78</v>
      </c>
      <c r="D83" s="61">
        <f t="shared" si="16"/>
        <v>45000</v>
      </c>
      <c r="E83" s="22">
        <f>E82+$G$18</f>
        <v>1.7200000000000009</v>
      </c>
      <c r="F83" s="61">
        <f t="shared" si="12"/>
        <v>122400</v>
      </c>
      <c r="G83" s="61">
        <f t="shared" si="13"/>
        <v>1468800</v>
      </c>
      <c r="H83" s="64"/>
      <c r="I83" s="61">
        <f>I82+G83</f>
        <v>26298000</v>
      </c>
      <c r="J83" s="64"/>
      <c r="K83" s="61">
        <f>MAX(0, $O$9-I83)</f>
        <v>0</v>
      </c>
      <c r="L83" s="61">
        <f t="shared" si="19"/>
        <v>39606</v>
      </c>
      <c r="M83" s="61">
        <f t="shared" si="18"/>
        <v>39606</v>
      </c>
      <c r="N83" s="61">
        <f t="shared" si="17"/>
        <v>2376</v>
      </c>
      <c r="O83" s="27" t="str">
        <f>IF(I83&lt;=$O$9, "स्वतःचा हिस्सा चालू", IF(I83&lt;=$O$8, "शासकीय कॉर्पसमधून पेन्शन", "★ शासनाकडून मोफत पेन्शन (तिजोरीतून)"))</f>
        <v>★ शासनाकडून मोफत पेन्शन (तिजोरीतून)</v>
      </c>
    </row>
  </sheetData>
  <mergeCells count="35">
    <mergeCell ref="A19:F19"/>
    <mergeCell ref="A18:F18"/>
    <mergeCell ref="I5:N5"/>
    <mergeCell ref="I6:N6"/>
    <mergeCell ref="I7:N7"/>
    <mergeCell ref="I8:N8"/>
    <mergeCell ref="I9:N9"/>
    <mergeCell ref="I10:N10"/>
    <mergeCell ref="I11:N11"/>
    <mergeCell ref="I12:N12"/>
    <mergeCell ref="I13:N13"/>
    <mergeCell ref="I14:N14"/>
    <mergeCell ref="I15:N15"/>
    <mergeCell ref="I16:N16"/>
    <mergeCell ref="I17:N17"/>
    <mergeCell ref="O16:P16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4:F4"/>
    <mergeCell ref="H4:N4"/>
    <mergeCell ref="A61:N61"/>
    <mergeCell ref="A20:P20"/>
    <mergeCell ref="A21:E21"/>
    <mergeCell ref="O17:P17"/>
    <mergeCell ref="A16:F16"/>
    <mergeCell ref="A17:F17"/>
  </mergeCells>
  <pageMargins left="0.75" right="0.75" top="1" bottom="1" header="0.5" footer="0.5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2"/>
  <sheetViews>
    <sheetView tabSelected="1" view="pageBreakPreview" zoomScale="145" zoomScaleNormal="100" zoomScaleSheetLayoutView="145" workbookViewId="0">
      <selection activeCell="G16" sqref="G16"/>
    </sheetView>
  </sheetViews>
  <sheetFormatPr defaultRowHeight="15" x14ac:dyDescent="0.25"/>
  <cols>
    <col min="1" max="1" width="7" customWidth="1"/>
    <col min="2" max="2" width="8" customWidth="1"/>
    <col min="3" max="3" width="7.5703125" customWidth="1"/>
    <col min="4" max="5" width="7.140625" customWidth="1"/>
    <col min="6" max="6" width="9.42578125" customWidth="1"/>
    <col min="7" max="7" width="7.28515625" customWidth="1"/>
    <col min="8" max="8" width="8.5703125" customWidth="1"/>
    <col min="9" max="9" width="8.7109375" customWidth="1"/>
    <col min="10" max="10" width="8.140625" customWidth="1"/>
    <col min="11" max="11" width="8.42578125" customWidth="1"/>
    <col min="12" max="12" width="9.7109375" customWidth="1"/>
    <col min="13" max="14" width="10.140625" customWidth="1"/>
    <col min="15" max="15" width="8.85546875" customWidth="1"/>
    <col min="16" max="16" width="8.42578125" customWidth="1"/>
  </cols>
  <sheetData>
    <row r="1" spans="1:14" ht="17.25" x14ac:dyDescent="0.3">
      <c r="A1" s="1" t="s">
        <v>64</v>
      </c>
    </row>
    <row r="2" spans="1:14" x14ac:dyDescent="0.25">
      <c r="A2" s="2" t="s">
        <v>65</v>
      </c>
    </row>
    <row r="4" spans="1:14" x14ac:dyDescent="0.25">
      <c r="A4" s="49" t="s">
        <v>66</v>
      </c>
      <c r="B4" s="45"/>
      <c r="C4" s="45"/>
      <c r="D4" s="45"/>
      <c r="E4" s="45"/>
      <c r="F4" s="45"/>
      <c r="H4" s="51" t="s">
        <v>67</v>
      </c>
      <c r="I4" s="45"/>
      <c r="J4" s="45"/>
      <c r="K4" s="45"/>
      <c r="L4" s="45"/>
      <c r="M4" s="45"/>
      <c r="N4" s="45"/>
    </row>
    <row r="5" spans="1:14" x14ac:dyDescent="0.25">
      <c r="A5" s="54" t="s">
        <v>68</v>
      </c>
      <c r="B5" s="55"/>
      <c r="C5" s="55"/>
      <c r="D5" s="55"/>
      <c r="E5" s="55"/>
      <c r="F5" s="28" t="str">
        <f>'7th_Pay_NPS_RNPS'!G5 &amp; " - " &amp; '7th_Pay_NPS_RNPS'!G6</f>
        <v>Bhande - Junior Clerk</v>
      </c>
      <c r="H5" s="42" t="s">
        <v>6</v>
      </c>
      <c r="I5" s="43"/>
      <c r="J5" s="43"/>
      <c r="K5" s="43"/>
      <c r="L5" s="43"/>
      <c r="M5" s="4">
        <f>'7th_Pay_NPS_RNPS'!G10</f>
        <v>50982</v>
      </c>
    </row>
    <row r="6" spans="1:14" x14ac:dyDescent="0.25">
      <c r="A6" s="54" t="s">
        <v>69</v>
      </c>
      <c r="B6" s="55"/>
      <c r="C6" s="55"/>
      <c r="D6" s="55"/>
      <c r="E6" s="55"/>
      <c r="F6" s="28" t="str">
        <f>"जन्म: " &amp; TEXT('7th_Pay_NPS_RNPS'!G7, "dd/mm/yyyy") &amp; " | रुजू: " &amp; TEXT('7th_Pay_NPS_RNPS'!G8, "dd/mm/yyyy")</f>
        <v>जन्म: 19/07/1981 | रुजू: 06/11/2015</v>
      </c>
      <c r="H6" s="42" t="s">
        <v>9</v>
      </c>
      <c r="I6" s="43"/>
      <c r="J6" s="43"/>
      <c r="K6" s="43"/>
      <c r="L6" s="43"/>
      <c r="M6" s="5">
        <f>LOOKUP(2, 1/(C22:C56&lt;&gt;""), C22:C56)</f>
        <v>180000</v>
      </c>
    </row>
    <row r="7" spans="1:14" x14ac:dyDescent="0.25">
      <c r="A7" s="54" t="s">
        <v>70</v>
      </c>
      <c r="B7" s="55"/>
      <c r="C7" s="55"/>
      <c r="D7" s="55"/>
      <c r="E7" s="55"/>
      <c r="F7" s="29">
        <f>'7th_Pay_NPS_RNPS'!G10</f>
        <v>50982</v>
      </c>
      <c r="H7" s="42" t="s">
        <v>71</v>
      </c>
      <c r="I7" s="43"/>
      <c r="J7" s="43"/>
      <c r="K7" s="43"/>
      <c r="L7" s="43"/>
      <c r="M7" s="7">
        <f>LOOKUP(2, 1/(D22:D56&lt;&gt;""), D22:D56)</f>
        <v>0.39000000000000012</v>
      </c>
    </row>
    <row r="8" spans="1:14" x14ac:dyDescent="0.25">
      <c r="A8" s="54" t="s">
        <v>20</v>
      </c>
      <c r="B8" s="55"/>
      <c r="C8" s="55"/>
      <c r="D8" s="55"/>
      <c r="E8" s="55"/>
      <c r="F8" s="28" t="str">
        <f>'7th_Pay_NPS_RNPS'!G11</f>
        <v>23 वर्षे, 8 महिने, 25 दिवस</v>
      </c>
      <c r="H8" s="42" t="s">
        <v>15</v>
      </c>
      <c r="I8" s="43"/>
      <c r="J8" s="43"/>
      <c r="K8" s="43"/>
      <c r="L8" s="43"/>
      <c r="M8" s="5">
        <f>LOOKUP(2, 1/(O22:O56&lt;&gt;""), O22:O56)</f>
        <v>29009763</v>
      </c>
    </row>
    <row r="9" spans="1:14" x14ac:dyDescent="0.25">
      <c r="A9" s="54" t="s">
        <v>72</v>
      </c>
      <c r="B9" s="55"/>
      <c r="C9" s="55"/>
      <c r="D9" s="55"/>
      <c r="E9" s="55"/>
      <c r="F9" s="30">
        <f>'7th_Pay_NPS_RNPS'!G13*2</f>
        <v>122600</v>
      </c>
      <c r="H9" s="42" t="s">
        <v>17</v>
      </c>
      <c r="I9" s="43"/>
      <c r="J9" s="43"/>
      <c r="K9" s="43"/>
      <c r="L9" s="43"/>
      <c r="M9" s="5">
        <f>LOOKUP(2, 1/(P22:P56&lt;&gt;""), P22:P56)</f>
        <v>12128165</v>
      </c>
    </row>
    <row r="10" spans="1:14" x14ac:dyDescent="0.25">
      <c r="A10" s="54" t="s">
        <v>73</v>
      </c>
      <c r="B10" s="55"/>
      <c r="C10" s="55"/>
      <c r="D10" s="55"/>
      <c r="E10" s="55"/>
      <c r="F10" s="12">
        <v>0</v>
      </c>
      <c r="H10" s="42" t="s">
        <v>19</v>
      </c>
      <c r="I10" s="43"/>
      <c r="J10" s="43"/>
      <c r="K10" s="43"/>
      <c r="L10" s="43"/>
      <c r="M10" s="5">
        <f>ROUND(M6*50%, 0)</f>
        <v>90000</v>
      </c>
    </row>
    <row r="11" spans="1:14" x14ac:dyDescent="0.25">
      <c r="A11" s="54" t="s">
        <v>74</v>
      </c>
      <c r="B11" s="55"/>
      <c r="C11" s="55"/>
      <c r="D11" s="55"/>
      <c r="E11" s="55"/>
      <c r="F11" s="31">
        <f>'7th_Pay_NPS_RNPS'!G15</f>
        <v>2500000</v>
      </c>
      <c r="H11" s="42" t="s">
        <v>21</v>
      </c>
      <c r="I11" s="43"/>
      <c r="J11" s="43"/>
      <c r="K11" s="43"/>
      <c r="L11" s="43"/>
      <c r="M11" s="5">
        <f>ROUND(M10*(1+M7), 0)</f>
        <v>125100</v>
      </c>
    </row>
    <row r="12" spans="1:14" x14ac:dyDescent="0.25">
      <c r="A12" s="54" t="s">
        <v>75</v>
      </c>
      <c r="B12" s="55"/>
      <c r="C12" s="55"/>
      <c r="D12" s="55"/>
      <c r="E12" s="55"/>
      <c r="F12" s="12">
        <v>0.04</v>
      </c>
      <c r="H12" s="42" t="s">
        <v>23</v>
      </c>
      <c r="I12" s="43"/>
      <c r="J12" s="43"/>
      <c r="K12" s="43"/>
      <c r="L12" s="43"/>
      <c r="M12" s="5">
        <f>M11*12</f>
        <v>1501200</v>
      </c>
    </row>
    <row r="13" spans="1:14" x14ac:dyDescent="0.25">
      <c r="A13" s="54" t="s">
        <v>34</v>
      </c>
      <c r="B13" s="55"/>
      <c r="C13" s="55"/>
      <c r="D13" s="55"/>
      <c r="E13" s="55"/>
      <c r="F13" s="12">
        <f>'7th_Pay_NPS_RNPS'!F21</f>
        <v>0.12</v>
      </c>
      <c r="H13" s="42" t="s">
        <v>25</v>
      </c>
      <c r="I13" s="43"/>
      <c r="J13" s="43"/>
      <c r="K13" s="43"/>
      <c r="L13" s="43"/>
      <c r="M13" s="5">
        <f>ROUND((M8*40%*6%)/12, 0)</f>
        <v>58020</v>
      </c>
    </row>
    <row r="14" spans="1:14" x14ac:dyDescent="0.25">
      <c r="A14" s="76" t="s">
        <v>147</v>
      </c>
      <c r="B14" s="77"/>
      <c r="C14" s="77"/>
      <c r="D14" s="77"/>
      <c r="E14" s="77"/>
      <c r="F14" s="12">
        <v>0.03</v>
      </c>
      <c r="H14" s="52" t="s">
        <v>27</v>
      </c>
      <c r="I14" s="53"/>
      <c r="J14" s="53"/>
      <c r="K14" s="53"/>
      <c r="L14" s="53"/>
      <c r="M14" s="13">
        <f>M11-M13</f>
        <v>67080</v>
      </c>
    </row>
    <row r="15" spans="1:14" x14ac:dyDescent="0.25">
      <c r="H15" s="52" t="s">
        <v>29</v>
      </c>
      <c r="I15" s="53"/>
      <c r="J15" s="53"/>
      <c r="K15" s="53"/>
      <c r="L15" s="53"/>
      <c r="M15" s="13">
        <f>ROUND(M10*60%*(1+M7), 0)</f>
        <v>75060</v>
      </c>
    </row>
    <row r="16" spans="1:14" x14ac:dyDescent="0.25">
      <c r="H16" s="50" t="s">
        <v>30</v>
      </c>
      <c r="I16" s="43"/>
      <c r="J16" s="43"/>
      <c r="K16" s="43"/>
      <c r="L16" s="43"/>
      <c r="M16" s="66">
        <f>ROUND(M9/M12, 1)</f>
        <v>8.1</v>
      </c>
      <c r="N16" s="67"/>
    </row>
    <row r="17" spans="1:16" x14ac:dyDescent="0.25">
      <c r="H17" s="50" t="s">
        <v>31</v>
      </c>
      <c r="I17" s="43"/>
      <c r="J17" s="43"/>
      <c r="K17" s="43"/>
      <c r="L17" s="43"/>
      <c r="M17" s="66">
        <f>ROUND(M8/M12, 1)</f>
        <v>19.3</v>
      </c>
      <c r="N17" s="67"/>
    </row>
    <row r="19" spans="1:16" ht="20.100000000000001" customHeight="1" x14ac:dyDescent="0.25">
      <c r="A19" s="56" t="s">
        <v>76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</row>
    <row r="20" spans="1:16" ht="6" customHeight="1" x14ac:dyDescent="0.25"/>
    <row r="21" spans="1:16" ht="73.5" customHeight="1" x14ac:dyDescent="0.25">
      <c r="A21" s="16" t="s">
        <v>35</v>
      </c>
      <c r="B21" s="16" t="s">
        <v>36</v>
      </c>
      <c r="C21" s="16" t="s">
        <v>37</v>
      </c>
      <c r="D21" s="16" t="s">
        <v>77</v>
      </c>
      <c r="E21" s="16" t="s">
        <v>78</v>
      </c>
      <c r="F21" s="16" t="s">
        <v>40</v>
      </c>
      <c r="G21" s="16" t="s">
        <v>41</v>
      </c>
      <c r="H21" s="16" t="s">
        <v>42</v>
      </c>
      <c r="I21" s="16" t="s">
        <v>43</v>
      </c>
      <c r="J21" s="16" t="s">
        <v>44</v>
      </c>
      <c r="K21" s="16" t="s">
        <v>45</v>
      </c>
      <c r="L21" s="16" t="s">
        <v>46</v>
      </c>
      <c r="M21" s="16" t="s">
        <v>47</v>
      </c>
      <c r="N21" s="16" t="s">
        <v>48</v>
      </c>
      <c r="O21" s="16" t="s">
        <v>49</v>
      </c>
      <c r="P21" s="16" t="s">
        <v>50</v>
      </c>
    </row>
    <row r="22" spans="1:16" x14ac:dyDescent="0.25">
      <c r="A22" s="17">
        <f>IF(2026&lt;=YEAR('7th_Pay_NPS_RNPS'!$G$10), 1, "")</f>
        <v>1</v>
      </c>
      <c r="B22" s="17">
        <f>IF(A22="", "", 2026)</f>
        <v>2026</v>
      </c>
      <c r="C22" s="59">
        <f>IF(A22="", "", $F$9)</f>
        <v>122600</v>
      </c>
      <c r="D22" s="19">
        <f>IF(A22="", "", $F$10)</f>
        <v>0</v>
      </c>
      <c r="E22" s="59">
        <f t="shared" ref="E22:E56" si="0">IF(A22="", "", ROUND(C22*D22, 0))</f>
        <v>0</v>
      </c>
      <c r="F22" s="59">
        <f t="shared" ref="F22:F56" si="1">IF(A22="", "", C22+E22)</f>
        <v>122600</v>
      </c>
      <c r="G22" s="59">
        <f t="shared" ref="G22:G56" si="2">IF(A22="", "", ROUND(F22*10%, 0))</f>
        <v>12260</v>
      </c>
      <c r="H22" s="59">
        <f t="shared" ref="H22:H56" si="3">IF(A22="", "", ROUND(F22*14%, 0))</f>
        <v>17164</v>
      </c>
      <c r="I22" s="59">
        <f t="shared" ref="I22:I56" si="4">IF(A22="", "", G22+H22)</f>
        <v>29424</v>
      </c>
      <c r="J22" s="60">
        <f>IF(A22="", "", IF(B22=YEAR('7th_Pay_NPS_RNPS'!$G$10), MONTH('7th_Pay_NPS_RNPS'!$G$10), 12))</f>
        <v>12</v>
      </c>
      <c r="K22" s="59">
        <f t="shared" ref="K22:K56" si="5">IF(A22="", "", G22*J22)</f>
        <v>147120</v>
      </c>
      <c r="L22" s="59">
        <f t="shared" ref="L22:L56" si="6">IF(A22="", "", H22*J22)</f>
        <v>205968</v>
      </c>
      <c r="M22" s="59">
        <f t="shared" ref="M22:M56" si="7">IF(A22="", "", K22+L22)</f>
        <v>353088</v>
      </c>
      <c r="N22" s="59">
        <f>IF(A22="", "", ROUND(('7th_Pay_NPS_RNPS'!$G$15+M22)*$F$13, 0))</f>
        <v>342371</v>
      </c>
      <c r="O22" s="59">
        <f>IF(A22="", "", '7th_Pay_NPS_RNPS'!$G$15+M22+N22)</f>
        <v>3195459</v>
      </c>
      <c r="P22" s="59">
        <f>IF(A22="", "", '7th_Pay_NPS_RNPS'!$G$16+K22+ROUND(('7th_Pay_NPS_RNPS'!$G$16+K22)*$F$13, 0))</f>
        <v>1340774</v>
      </c>
    </row>
    <row r="23" spans="1:16" x14ac:dyDescent="0.25">
      <c r="A23" s="20">
        <f>IF(2027&lt;=YEAR('7th_Pay_NPS_RNPS'!$G$10), 2, "")</f>
        <v>2</v>
      </c>
      <c r="B23" s="32">
        <f>IF(A23="", "", 2027)</f>
        <v>2027</v>
      </c>
      <c r="C23" s="65">
        <f>IF(A23="", "", IF(CEILING(C22*(1+'7th_Pay_NPS_RNPS'!$G$18), 100)-ROUND(C22*(1+'7th_Pay_NPS_RNPS'!$G$18), 0)&lt;=50, CEILING(C22*(1+'7th_Pay_NPS_RNPS'!$G$18), 100), CEILING(C22*(1+'7th_Pay_NPS_RNPS'!$G$18), 100)-100))</f>
        <v>126300</v>
      </c>
      <c r="D23" s="22">
        <f>IF(A23="", "", D22+$F$14)</f>
        <v>0.03</v>
      </c>
      <c r="E23" s="61">
        <f t="shared" si="0"/>
        <v>3789</v>
      </c>
      <c r="F23" s="61">
        <f t="shared" si="1"/>
        <v>130089</v>
      </c>
      <c r="G23" s="61">
        <f t="shared" si="2"/>
        <v>13009</v>
      </c>
      <c r="H23" s="61">
        <f t="shared" si="3"/>
        <v>18212</v>
      </c>
      <c r="I23" s="61">
        <f t="shared" si="4"/>
        <v>31221</v>
      </c>
      <c r="J23" s="62">
        <f>IF(A23="", "", IF(B23=YEAR('7th_Pay_NPS_RNPS'!$G$10), MONTH('7th_Pay_NPS_RNPS'!$G$10), 12))</f>
        <v>12</v>
      </c>
      <c r="K23" s="61">
        <f t="shared" si="5"/>
        <v>156108</v>
      </c>
      <c r="L23" s="61">
        <f t="shared" si="6"/>
        <v>218544</v>
      </c>
      <c r="M23" s="61">
        <f t="shared" si="7"/>
        <v>374652</v>
      </c>
      <c r="N23" s="61">
        <f t="shared" ref="N23:N56" si="8">IF(A23="", "", ROUND((O22+M23)*$F$13, 0))</f>
        <v>428413</v>
      </c>
      <c r="O23" s="61">
        <f t="shared" ref="O23:O56" si="9">IF(A23="", "", O22+M23+N23)</f>
        <v>3998524</v>
      </c>
      <c r="P23" s="61">
        <f t="shared" ref="P23:P56" si="10">IF(A23="", "", P22+K23+ROUND((P22+K23)*$F$13, 0))</f>
        <v>1676508</v>
      </c>
    </row>
    <row r="24" spans="1:16" x14ac:dyDescent="0.25">
      <c r="A24" s="17">
        <f>IF(2028&lt;=YEAR('7th_Pay_NPS_RNPS'!$G$10), 3, "")</f>
        <v>3</v>
      </c>
      <c r="B24" s="32">
        <f>IF(A24="", "", 2028)</f>
        <v>2028</v>
      </c>
      <c r="C24" s="65">
        <f>IF(A24="", "", IF(CEILING(C23*(1+'7th_Pay_NPS_RNPS'!$G$18), 100)-ROUND(C23*(1+'7th_Pay_NPS_RNPS'!$G$18), 0)&lt;=50, CEILING(C23*(1+'7th_Pay_NPS_RNPS'!$G$18), 100), CEILING(C23*(1+'7th_Pay_NPS_RNPS'!$G$18), 100)-100))</f>
        <v>130100</v>
      </c>
      <c r="D24" s="22">
        <f t="shared" ref="D24:D56" si="11">IF(A24="", "", D23+$F$14)</f>
        <v>0.06</v>
      </c>
      <c r="E24" s="59">
        <f t="shared" si="0"/>
        <v>7806</v>
      </c>
      <c r="F24" s="59">
        <f t="shared" si="1"/>
        <v>137906</v>
      </c>
      <c r="G24" s="59">
        <f t="shared" si="2"/>
        <v>13791</v>
      </c>
      <c r="H24" s="59">
        <f t="shared" si="3"/>
        <v>19307</v>
      </c>
      <c r="I24" s="59">
        <f t="shared" si="4"/>
        <v>33098</v>
      </c>
      <c r="J24" s="60">
        <f>IF(A24="", "", IF(B24=YEAR('7th_Pay_NPS_RNPS'!$G$10), MONTH('7th_Pay_NPS_RNPS'!$G$10), 12))</f>
        <v>12</v>
      </c>
      <c r="K24" s="59">
        <f t="shared" si="5"/>
        <v>165492</v>
      </c>
      <c r="L24" s="59">
        <f t="shared" si="6"/>
        <v>231684</v>
      </c>
      <c r="M24" s="59">
        <f t="shared" si="7"/>
        <v>397176</v>
      </c>
      <c r="N24" s="59">
        <f t="shared" si="8"/>
        <v>527484</v>
      </c>
      <c r="O24" s="59">
        <f t="shared" si="9"/>
        <v>4923184</v>
      </c>
      <c r="P24" s="59">
        <f t="shared" si="10"/>
        <v>2063040</v>
      </c>
    </row>
    <row r="25" spans="1:16" x14ac:dyDescent="0.25">
      <c r="A25" s="20">
        <f>IF(2029&lt;=YEAR('7th_Pay_NPS_RNPS'!$G$10), 4, "")</f>
        <v>4</v>
      </c>
      <c r="B25" s="32">
        <f>IF(A25="", "", 2029)</f>
        <v>2029</v>
      </c>
      <c r="C25" s="65">
        <f>IF(A25="", "", IF(CEILING(C24*(1+'7th_Pay_NPS_RNPS'!$G$18), 100)-ROUND(C24*(1+'7th_Pay_NPS_RNPS'!$G$18), 0)&lt;=50, CEILING(C24*(1+'7th_Pay_NPS_RNPS'!$G$18), 100), CEILING(C24*(1+'7th_Pay_NPS_RNPS'!$G$18), 100)-100))</f>
        <v>134000</v>
      </c>
      <c r="D25" s="22">
        <f t="shared" si="11"/>
        <v>0.09</v>
      </c>
      <c r="E25" s="61">
        <f t="shared" si="0"/>
        <v>12060</v>
      </c>
      <c r="F25" s="61">
        <f t="shared" si="1"/>
        <v>146060</v>
      </c>
      <c r="G25" s="61">
        <f t="shared" si="2"/>
        <v>14606</v>
      </c>
      <c r="H25" s="61">
        <f t="shared" si="3"/>
        <v>20448</v>
      </c>
      <c r="I25" s="61">
        <f t="shared" si="4"/>
        <v>35054</v>
      </c>
      <c r="J25" s="62">
        <f>IF(A25="", "", IF(B25=YEAR('7th_Pay_NPS_RNPS'!$G$10), MONTH('7th_Pay_NPS_RNPS'!$G$10), 12))</f>
        <v>12</v>
      </c>
      <c r="K25" s="61">
        <f t="shared" si="5"/>
        <v>175272</v>
      </c>
      <c r="L25" s="61">
        <f t="shared" si="6"/>
        <v>245376</v>
      </c>
      <c r="M25" s="61">
        <f t="shared" si="7"/>
        <v>420648</v>
      </c>
      <c r="N25" s="61">
        <f t="shared" si="8"/>
        <v>641260</v>
      </c>
      <c r="O25" s="61">
        <f t="shared" si="9"/>
        <v>5985092</v>
      </c>
      <c r="P25" s="61">
        <f t="shared" si="10"/>
        <v>2506909</v>
      </c>
    </row>
    <row r="26" spans="1:16" x14ac:dyDescent="0.25">
      <c r="A26" s="17">
        <f>IF(2030&lt;=YEAR('7th_Pay_NPS_RNPS'!$G$10), 5, "")</f>
        <v>5</v>
      </c>
      <c r="B26" s="32">
        <f>IF(A26="", "", 2030)</f>
        <v>2030</v>
      </c>
      <c r="C26" s="65">
        <f>IF(A26="", "", IF(CEILING(C25*(1+'7th_Pay_NPS_RNPS'!$G$18), 100)-ROUND(C25*(1+'7th_Pay_NPS_RNPS'!$G$18), 0)&lt;=50, CEILING(C25*(1+'7th_Pay_NPS_RNPS'!$G$18), 100), CEILING(C25*(1+'7th_Pay_NPS_RNPS'!$G$18), 100)-100))</f>
        <v>138000</v>
      </c>
      <c r="D26" s="22">
        <f t="shared" si="11"/>
        <v>0.12</v>
      </c>
      <c r="E26" s="59">
        <f t="shared" si="0"/>
        <v>16560</v>
      </c>
      <c r="F26" s="59">
        <f t="shared" si="1"/>
        <v>154560</v>
      </c>
      <c r="G26" s="59">
        <f t="shared" si="2"/>
        <v>15456</v>
      </c>
      <c r="H26" s="59">
        <f t="shared" si="3"/>
        <v>21638</v>
      </c>
      <c r="I26" s="59">
        <f t="shared" si="4"/>
        <v>37094</v>
      </c>
      <c r="J26" s="60">
        <f>IF(A26="", "", IF(B26=YEAR('7th_Pay_NPS_RNPS'!$G$10), MONTH('7th_Pay_NPS_RNPS'!$G$10), 12))</f>
        <v>12</v>
      </c>
      <c r="K26" s="59">
        <f t="shared" si="5"/>
        <v>185472</v>
      </c>
      <c r="L26" s="59">
        <f t="shared" si="6"/>
        <v>259656</v>
      </c>
      <c r="M26" s="59">
        <f t="shared" si="7"/>
        <v>445128</v>
      </c>
      <c r="N26" s="59">
        <f t="shared" si="8"/>
        <v>771626</v>
      </c>
      <c r="O26" s="59">
        <f t="shared" si="9"/>
        <v>7201846</v>
      </c>
      <c r="P26" s="59">
        <f t="shared" si="10"/>
        <v>3015467</v>
      </c>
    </row>
    <row r="27" spans="1:16" x14ac:dyDescent="0.25">
      <c r="A27" s="20">
        <f>IF(2031&lt;=YEAR('7th_Pay_NPS_RNPS'!$G$10), 6, "")</f>
        <v>6</v>
      </c>
      <c r="B27" s="32">
        <f>IF(A27="", "", 2031)</f>
        <v>2031</v>
      </c>
      <c r="C27" s="65">
        <f>IF(A27="", "", IF(CEILING(C26*(1+'7th_Pay_NPS_RNPS'!$G$18), 100)-ROUND(C26*(1+'7th_Pay_NPS_RNPS'!$G$18), 0)&lt;=50, CEILING(C26*(1+'7th_Pay_NPS_RNPS'!$G$18), 100), CEILING(C26*(1+'7th_Pay_NPS_RNPS'!$G$18), 100)-100))</f>
        <v>142100</v>
      </c>
      <c r="D27" s="22">
        <f t="shared" si="11"/>
        <v>0.15</v>
      </c>
      <c r="E27" s="61">
        <f t="shared" si="0"/>
        <v>21315</v>
      </c>
      <c r="F27" s="61">
        <f t="shared" si="1"/>
        <v>163415</v>
      </c>
      <c r="G27" s="61">
        <f t="shared" si="2"/>
        <v>16342</v>
      </c>
      <c r="H27" s="61">
        <f t="shared" si="3"/>
        <v>22878</v>
      </c>
      <c r="I27" s="61">
        <f t="shared" si="4"/>
        <v>39220</v>
      </c>
      <c r="J27" s="62">
        <f>IF(A27="", "", IF(B27=YEAR('7th_Pay_NPS_RNPS'!$G$10), MONTH('7th_Pay_NPS_RNPS'!$G$10), 12))</f>
        <v>12</v>
      </c>
      <c r="K27" s="61">
        <f t="shared" si="5"/>
        <v>196104</v>
      </c>
      <c r="L27" s="61">
        <f t="shared" si="6"/>
        <v>274536</v>
      </c>
      <c r="M27" s="61">
        <f t="shared" si="7"/>
        <v>470640</v>
      </c>
      <c r="N27" s="61">
        <f t="shared" si="8"/>
        <v>920698</v>
      </c>
      <c r="O27" s="61">
        <f t="shared" si="9"/>
        <v>8593184</v>
      </c>
      <c r="P27" s="61">
        <f t="shared" si="10"/>
        <v>3596960</v>
      </c>
    </row>
    <row r="28" spans="1:16" x14ac:dyDescent="0.25">
      <c r="A28" s="17">
        <f>IF(2032&lt;=YEAR('7th_Pay_NPS_RNPS'!$G$10), 7, "")</f>
        <v>7</v>
      </c>
      <c r="B28" s="32">
        <f>IF(A28="", "", 2032)</f>
        <v>2032</v>
      </c>
      <c r="C28" s="65">
        <f>IF(A28="", "", IF(CEILING(C27*(1+'7th_Pay_NPS_RNPS'!$G$18), 100)-ROUND(C27*(1+'7th_Pay_NPS_RNPS'!$G$18), 0)&lt;=50, CEILING(C27*(1+'7th_Pay_NPS_RNPS'!$G$18), 100), CEILING(C27*(1+'7th_Pay_NPS_RNPS'!$G$18), 100)-100))</f>
        <v>146400</v>
      </c>
      <c r="D28" s="22">
        <f t="shared" si="11"/>
        <v>0.18</v>
      </c>
      <c r="E28" s="59">
        <f t="shared" si="0"/>
        <v>26352</v>
      </c>
      <c r="F28" s="59">
        <f t="shared" si="1"/>
        <v>172752</v>
      </c>
      <c r="G28" s="59">
        <f t="shared" si="2"/>
        <v>17275</v>
      </c>
      <c r="H28" s="59">
        <f t="shared" si="3"/>
        <v>24185</v>
      </c>
      <c r="I28" s="59">
        <f t="shared" si="4"/>
        <v>41460</v>
      </c>
      <c r="J28" s="60">
        <f>IF(A28="", "", IF(B28=YEAR('7th_Pay_NPS_RNPS'!$G$10), MONTH('7th_Pay_NPS_RNPS'!$G$10), 12))</f>
        <v>12</v>
      </c>
      <c r="K28" s="59">
        <f t="shared" si="5"/>
        <v>207300</v>
      </c>
      <c r="L28" s="59">
        <f t="shared" si="6"/>
        <v>290220</v>
      </c>
      <c r="M28" s="59">
        <f t="shared" si="7"/>
        <v>497520</v>
      </c>
      <c r="N28" s="59">
        <f t="shared" si="8"/>
        <v>1090884</v>
      </c>
      <c r="O28" s="59">
        <f t="shared" si="9"/>
        <v>10181588</v>
      </c>
      <c r="P28" s="59">
        <f t="shared" si="10"/>
        <v>4260771</v>
      </c>
    </row>
    <row r="29" spans="1:16" x14ac:dyDescent="0.25">
      <c r="A29" s="20">
        <f>IF(2033&lt;=YEAR('7th_Pay_NPS_RNPS'!$G$10), 8, "")</f>
        <v>8</v>
      </c>
      <c r="B29" s="32">
        <f>IF(A29="", "", 2033)</f>
        <v>2033</v>
      </c>
      <c r="C29" s="65">
        <f>IF(A29="", "", IF(CEILING(C28*(1+'7th_Pay_NPS_RNPS'!$G$18), 100)-ROUND(C28*(1+'7th_Pay_NPS_RNPS'!$G$18), 0)&lt;=50, CEILING(C28*(1+'7th_Pay_NPS_RNPS'!$G$18), 100), CEILING(C28*(1+'7th_Pay_NPS_RNPS'!$G$18), 100)-100))</f>
        <v>150800</v>
      </c>
      <c r="D29" s="22">
        <f t="shared" si="11"/>
        <v>0.21</v>
      </c>
      <c r="E29" s="61">
        <f t="shared" si="0"/>
        <v>31668</v>
      </c>
      <c r="F29" s="61">
        <f t="shared" si="1"/>
        <v>182468</v>
      </c>
      <c r="G29" s="61">
        <f t="shared" si="2"/>
        <v>18247</v>
      </c>
      <c r="H29" s="61">
        <f t="shared" si="3"/>
        <v>25546</v>
      </c>
      <c r="I29" s="61">
        <f t="shared" si="4"/>
        <v>43793</v>
      </c>
      <c r="J29" s="62">
        <f>IF(A29="", "", IF(B29=YEAR('7th_Pay_NPS_RNPS'!$G$10), MONTH('7th_Pay_NPS_RNPS'!$G$10), 12))</f>
        <v>12</v>
      </c>
      <c r="K29" s="61">
        <f t="shared" si="5"/>
        <v>218964</v>
      </c>
      <c r="L29" s="61">
        <f t="shared" si="6"/>
        <v>306552</v>
      </c>
      <c r="M29" s="61">
        <f t="shared" si="7"/>
        <v>525516</v>
      </c>
      <c r="N29" s="61">
        <f t="shared" si="8"/>
        <v>1284852</v>
      </c>
      <c r="O29" s="61">
        <f t="shared" si="9"/>
        <v>11991956</v>
      </c>
      <c r="P29" s="61">
        <f t="shared" si="10"/>
        <v>5017303</v>
      </c>
    </row>
    <row r="30" spans="1:16" x14ac:dyDescent="0.25">
      <c r="A30" s="17">
        <f>IF(2034&lt;=YEAR('7th_Pay_NPS_RNPS'!$G$10), 9, "")</f>
        <v>9</v>
      </c>
      <c r="B30" s="32">
        <f>IF(A30="", "", 2034)</f>
        <v>2034</v>
      </c>
      <c r="C30" s="65">
        <f>IF(A30="", "", IF(CEILING(C29*(1+'7th_Pay_NPS_RNPS'!$G$18), 100)-ROUND(C29*(1+'7th_Pay_NPS_RNPS'!$G$18), 0)&lt;=50, CEILING(C29*(1+'7th_Pay_NPS_RNPS'!$G$18), 100), CEILING(C29*(1+'7th_Pay_NPS_RNPS'!$G$18), 100)-100))</f>
        <v>155300</v>
      </c>
      <c r="D30" s="22">
        <f t="shared" si="11"/>
        <v>0.24</v>
      </c>
      <c r="E30" s="59">
        <f t="shared" si="0"/>
        <v>37272</v>
      </c>
      <c r="F30" s="59">
        <f t="shared" si="1"/>
        <v>192572</v>
      </c>
      <c r="G30" s="59">
        <f t="shared" si="2"/>
        <v>19257</v>
      </c>
      <c r="H30" s="59">
        <f t="shared" si="3"/>
        <v>26960</v>
      </c>
      <c r="I30" s="59">
        <f t="shared" si="4"/>
        <v>46217</v>
      </c>
      <c r="J30" s="60">
        <f>IF(A30="", "", IF(B30=YEAR('7th_Pay_NPS_RNPS'!$G$10), MONTH('7th_Pay_NPS_RNPS'!$G$10), 12))</f>
        <v>12</v>
      </c>
      <c r="K30" s="59">
        <f t="shared" si="5"/>
        <v>231084</v>
      </c>
      <c r="L30" s="59">
        <f t="shared" si="6"/>
        <v>323520</v>
      </c>
      <c r="M30" s="59">
        <f t="shared" si="7"/>
        <v>554604</v>
      </c>
      <c r="N30" s="59">
        <f t="shared" si="8"/>
        <v>1505587</v>
      </c>
      <c r="O30" s="59">
        <f t="shared" si="9"/>
        <v>14052147</v>
      </c>
      <c r="P30" s="59">
        <f t="shared" si="10"/>
        <v>5878193</v>
      </c>
    </row>
    <row r="31" spans="1:16" x14ac:dyDescent="0.25">
      <c r="A31" s="20">
        <f>IF(2035&lt;=YEAR('7th_Pay_NPS_RNPS'!$G$10), 10, "")</f>
        <v>10</v>
      </c>
      <c r="B31" s="32">
        <f>IF(A31="", "", 2035)</f>
        <v>2035</v>
      </c>
      <c r="C31" s="65">
        <f>IF(A31="", "", IF(CEILING(C30*(1+'7th_Pay_NPS_RNPS'!$G$18), 100)-ROUND(C30*(1+'7th_Pay_NPS_RNPS'!$G$18), 0)&lt;=50, CEILING(C30*(1+'7th_Pay_NPS_RNPS'!$G$18), 100), CEILING(C30*(1+'7th_Pay_NPS_RNPS'!$G$18), 100)-100))</f>
        <v>160000</v>
      </c>
      <c r="D31" s="22">
        <f t="shared" si="11"/>
        <v>0.27</v>
      </c>
      <c r="E31" s="61">
        <f t="shared" si="0"/>
        <v>43200</v>
      </c>
      <c r="F31" s="61">
        <f t="shared" si="1"/>
        <v>203200</v>
      </c>
      <c r="G31" s="61">
        <f t="shared" si="2"/>
        <v>20320</v>
      </c>
      <c r="H31" s="61">
        <f t="shared" si="3"/>
        <v>28448</v>
      </c>
      <c r="I31" s="61">
        <f t="shared" si="4"/>
        <v>48768</v>
      </c>
      <c r="J31" s="62">
        <f>IF(A31="", "", IF(B31=YEAR('7th_Pay_NPS_RNPS'!$G$10), MONTH('7th_Pay_NPS_RNPS'!$G$10), 12))</f>
        <v>12</v>
      </c>
      <c r="K31" s="61">
        <f t="shared" si="5"/>
        <v>243840</v>
      </c>
      <c r="L31" s="61">
        <f t="shared" si="6"/>
        <v>341376</v>
      </c>
      <c r="M31" s="61">
        <f t="shared" si="7"/>
        <v>585216</v>
      </c>
      <c r="N31" s="61">
        <f t="shared" si="8"/>
        <v>1756484</v>
      </c>
      <c r="O31" s="61">
        <f t="shared" si="9"/>
        <v>16393847</v>
      </c>
      <c r="P31" s="61">
        <f t="shared" si="10"/>
        <v>6856677</v>
      </c>
    </row>
    <row r="32" spans="1:16" x14ac:dyDescent="0.25">
      <c r="A32" s="17">
        <f>IF(2036&lt;=YEAR('7th_Pay_NPS_RNPS'!$G$10), 11, "")</f>
        <v>11</v>
      </c>
      <c r="B32" s="32">
        <f>IF(A32="", "", 2036)</f>
        <v>2036</v>
      </c>
      <c r="C32" s="65">
        <f>IF(A32="", "", IF(CEILING(C31*(1+'7th_Pay_NPS_RNPS'!$G$18), 100)-ROUND(C31*(1+'7th_Pay_NPS_RNPS'!$G$18), 0)&lt;=50, CEILING(C31*(1+'7th_Pay_NPS_RNPS'!$G$18), 100), CEILING(C31*(1+'7th_Pay_NPS_RNPS'!$G$18), 100)-100))</f>
        <v>164800</v>
      </c>
      <c r="D32" s="22">
        <f t="shared" si="11"/>
        <v>0.30000000000000004</v>
      </c>
      <c r="E32" s="59">
        <f t="shared" si="0"/>
        <v>49440</v>
      </c>
      <c r="F32" s="59">
        <f t="shared" si="1"/>
        <v>214240</v>
      </c>
      <c r="G32" s="59">
        <f t="shared" si="2"/>
        <v>21424</v>
      </c>
      <c r="H32" s="59">
        <f t="shared" si="3"/>
        <v>29994</v>
      </c>
      <c r="I32" s="59">
        <f t="shared" si="4"/>
        <v>51418</v>
      </c>
      <c r="J32" s="60">
        <f>IF(A32="", "", IF(B32=YEAR('7th_Pay_NPS_RNPS'!$G$10), MONTH('7th_Pay_NPS_RNPS'!$G$10), 12))</f>
        <v>12</v>
      </c>
      <c r="K32" s="59">
        <f t="shared" si="5"/>
        <v>257088</v>
      </c>
      <c r="L32" s="59">
        <f t="shared" si="6"/>
        <v>359928</v>
      </c>
      <c r="M32" s="59">
        <f t="shared" si="7"/>
        <v>617016</v>
      </c>
      <c r="N32" s="59">
        <f t="shared" si="8"/>
        <v>2041304</v>
      </c>
      <c r="O32" s="59">
        <f t="shared" si="9"/>
        <v>19052167</v>
      </c>
      <c r="P32" s="59">
        <f t="shared" si="10"/>
        <v>7967417</v>
      </c>
    </row>
    <row r="33" spans="1:16" x14ac:dyDescent="0.25">
      <c r="A33" s="20">
        <f>IF(2037&lt;=YEAR('7th_Pay_NPS_RNPS'!$G$10), 12, "")</f>
        <v>12</v>
      </c>
      <c r="B33" s="32">
        <f>IF(A33="", "", 2037)</f>
        <v>2037</v>
      </c>
      <c r="C33" s="65">
        <f>IF(A33="", "", IF(CEILING(C32*(1+'7th_Pay_NPS_RNPS'!$G$18), 100)-ROUND(C32*(1+'7th_Pay_NPS_RNPS'!$G$18), 0)&lt;=50, CEILING(C32*(1+'7th_Pay_NPS_RNPS'!$G$18), 100), CEILING(C32*(1+'7th_Pay_NPS_RNPS'!$G$18), 100)-100))</f>
        <v>169700</v>
      </c>
      <c r="D33" s="22">
        <f t="shared" si="11"/>
        <v>0.33000000000000007</v>
      </c>
      <c r="E33" s="61">
        <f t="shared" si="0"/>
        <v>56001</v>
      </c>
      <c r="F33" s="61">
        <f t="shared" si="1"/>
        <v>225701</v>
      </c>
      <c r="G33" s="61">
        <f t="shared" si="2"/>
        <v>22570</v>
      </c>
      <c r="H33" s="61">
        <f t="shared" si="3"/>
        <v>31598</v>
      </c>
      <c r="I33" s="61">
        <f t="shared" si="4"/>
        <v>54168</v>
      </c>
      <c r="J33" s="62">
        <f>IF(A33="", "", IF(B33=YEAR('7th_Pay_NPS_RNPS'!$G$10), MONTH('7th_Pay_NPS_RNPS'!$G$10), 12))</f>
        <v>12</v>
      </c>
      <c r="K33" s="61">
        <f t="shared" si="5"/>
        <v>270840</v>
      </c>
      <c r="L33" s="61">
        <f t="shared" si="6"/>
        <v>379176</v>
      </c>
      <c r="M33" s="61">
        <f t="shared" si="7"/>
        <v>650016</v>
      </c>
      <c r="N33" s="61">
        <f t="shared" si="8"/>
        <v>2364262</v>
      </c>
      <c r="O33" s="61">
        <f t="shared" si="9"/>
        <v>22066445</v>
      </c>
      <c r="P33" s="61">
        <f t="shared" si="10"/>
        <v>9226848</v>
      </c>
    </row>
    <row r="34" spans="1:16" x14ac:dyDescent="0.25">
      <c r="A34" s="17">
        <f>IF(2038&lt;=YEAR('7th_Pay_NPS_RNPS'!$G$10), 13, "")</f>
        <v>13</v>
      </c>
      <c r="B34" s="32">
        <f>IF(A34="", "", 2038)</f>
        <v>2038</v>
      </c>
      <c r="C34" s="65">
        <f>IF(A34="", "", IF(CEILING(C33*(1+'7th_Pay_NPS_RNPS'!$G$18), 100)-ROUND(C33*(1+'7th_Pay_NPS_RNPS'!$G$18), 0)&lt;=50, CEILING(C33*(1+'7th_Pay_NPS_RNPS'!$G$18), 100), CEILING(C33*(1+'7th_Pay_NPS_RNPS'!$G$18), 100)-100))</f>
        <v>174800</v>
      </c>
      <c r="D34" s="22">
        <f t="shared" si="11"/>
        <v>0.3600000000000001</v>
      </c>
      <c r="E34" s="59">
        <f t="shared" si="0"/>
        <v>62928</v>
      </c>
      <c r="F34" s="59">
        <f t="shared" si="1"/>
        <v>237728</v>
      </c>
      <c r="G34" s="59">
        <f t="shared" si="2"/>
        <v>23773</v>
      </c>
      <c r="H34" s="59">
        <f t="shared" si="3"/>
        <v>33282</v>
      </c>
      <c r="I34" s="59">
        <f t="shared" si="4"/>
        <v>57055</v>
      </c>
      <c r="J34" s="60">
        <f>IF(A34="", "", IF(B34=YEAR('7th_Pay_NPS_RNPS'!$G$10), MONTH('7th_Pay_NPS_RNPS'!$G$10), 12))</f>
        <v>12</v>
      </c>
      <c r="K34" s="59">
        <f t="shared" si="5"/>
        <v>285276</v>
      </c>
      <c r="L34" s="59">
        <f t="shared" si="6"/>
        <v>399384</v>
      </c>
      <c r="M34" s="59">
        <f t="shared" si="7"/>
        <v>684660</v>
      </c>
      <c r="N34" s="59">
        <f t="shared" si="8"/>
        <v>2730133</v>
      </c>
      <c r="O34" s="59">
        <f t="shared" si="9"/>
        <v>25481238</v>
      </c>
      <c r="P34" s="59">
        <f t="shared" si="10"/>
        <v>10653579</v>
      </c>
    </row>
    <row r="35" spans="1:16" x14ac:dyDescent="0.25">
      <c r="A35" s="20">
        <f>IF(2039&lt;=YEAR('7th_Pay_NPS_RNPS'!$G$10), 14, "")</f>
        <v>14</v>
      </c>
      <c r="B35" s="32">
        <f>IF(A35="", "", 2039)</f>
        <v>2039</v>
      </c>
      <c r="C35" s="65">
        <f>IF(A35="", "", IF(CEILING(C34*(1+'7th_Pay_NPS_RNPS'!$G$18), 100)-ROUND(C34*(1+'7th_Pay_NPS_RNPS'!$G$18), 0)&lt;=50, CEILING(C34*(1+'7th_Pay_NPS_RNPS'!$G$18), 100), CEILING(C34*(1+'7th_Pay_NPS_RNPS'!$G$18), 100)-100))</f>
        <v>180000</v>
      </c>
      <c r="D35" s="22">
        <f t="shared" si="11"/>
        <v>0.39000000000000012</v>
      </c>
      <c r="E35" s="61">
        <f t="shared" si="0"/>
        <v>70200</v>
      </c>
      <c r="F35" s="61">
        <f t="shared" si="1"/>
        <v>250200</v>
      </c>
      <c r="G35" s="61">
        <f t="shared" si="2"/>
        <v>25020</v>
      </c>
      <c r="H35" s="61">
        <f t="shared" si="3"/>
        <v>35028</v>
      </c>
      <c r="I35" s="61">
        <f t="shared" si="4"/>
        <v>60048</v>
      </c>
      <c r="J35" s="62">
        <f>IF(A35="", "", IF(B35=YEAR('7th_Pay_NPS_RNPS'!$G$10), MONTH('7th_Pay_NPS_RNPS'!$G$10), 12))</f>
        <v>7</v>
      </c>
      <c r="K35" s="61">
        <f t="shared" si="5"/>
        <v>175140</v>
      </c>
      <c r="L35" s="61">
        <f t="shared" si="6"/>
        <v>245196</v>
      </c>
      <c r="M35" s="61">
        <f t="shared" si="7"/>
        <v>420336</v>
      </c>
      <c r="N35" s="61">
        <f t="shared" si="8"/>
        <v>3108189</v>
      </c>
      <c r="O35" s="61">
        <f t="shared" si="9"/>
        <v>29009763</v>
      </c>
      <c r="P35" s="61">
        <f t="shared" si="10"/>
        <v>12128165</v>
      </c>
    </row>
    <row r="36" spans="1:16" x14ac:dyDescent="0.25">
      <c r="A36" s="17" t="str">
        <f>IF(2040&lt;=YEAR('7th_Pay_NPS_RNPS'!$G$10), 15, "")</f>
        <v/>
      </c>
      <c r="B36" s="17" t="str">
        <f>IF(A36="", "", 2040)</f>
        <v/>
      </c>
      <c r="C36" s="59" t="str">
        <f>IF(A36="", "", IF(CEILING(C35*(1+'7th_Pay_NPS_RNPS'!$G$18), 100)-ROUND(C35*(1+'7th_Pay_NPS_RNPS'!$G$18), 0)&lt;=50, CEILING(C35*(1+'7th_Pay_NPS_RNPS'!$G$18), 100), CEILING(C35*(1+'7th_Pay_NPS_RNPS'!$G$18), 100)-100))</f>
        <v/>
      </c>
      <c r="D36" s="22" t="str">
        <f t="shared" si="11"/>
        <v/>
      </c>
      <c r="E36" s="59" t="str">
        <f t="shared" si="0"/>
        <v/>
      </c>
      <c r="F36" s="59" t="str">
        <f t="shared" si="1"/>
        <v/>
      </c>
      <c r="G36" s="59" t="str">
        <f t="shared" si="2"/>
        <v/>
      </c>
      <c r="H36" s="59" t="str">
        <f t="shared" si="3"/>
        <v/>
      </c>
      <c r="I36" s="59" t="str">
        <f t="shared" si="4"/>
        <v/>
      </c>
      <c r="J36" s="60" t="str">
        <f>IF(A36="", "", IF(B36=YEAR('7th_Pay_NPS_RNPS'!$G$10), MONTH('7th_Pay_NPS_RNPS'!$G$10), 12))</f>
        <v/>
      </c>
      <c r="K36" s="59" t="str">
        <f t="shared" si="5"/>
        <v/>
      </c>
      <c r="L36" s="59" t="str">
        <f t="shared" si="6"/>
        <v/>
      </c>
      <c r="M36" s="59" t="str">
        <f t="shared" si="7"/>
        <v/>
      </c>
      <c r="N36" s="59" t="str">
        <f t="shared" si="8"/>
        <v/>
      </c>
      <c r="O36" s="59" t="str">
        <f t="shared" si="9"/>
        <v/>
      </c>
      <c r="P36" s="59" t="str">
        <f t="shared" si="10"/>
        <v/>
      </c>
    </row>
    <row r="37" spans="1:16" x14ac:dyDescent="0.25">
      <c r="A37" s="20" t="str">
        <f>IF(2041&lt;=YEAR('7th_Pay_NPS_RNPS'!$G$10), 16, "")</f>
        <v/>
      </c>
      <c r="B37" s="20" t="str">
        <f>IF(A37="", "", 2041)</f>
        <v/>
      </c>
      <c r="C37" s="61" t="str">
        <f>IF(A37="", "", IF(CEILING(C36*(1+'7th_Pay_NPS_RNPS'!$G$18), 100)-ROUND(C36*(1+'7th_Pay_NPS_RNPS'!$G$18), 0)&lt;=50, CEILING(C36*(1+'7th_Pay_NPS_RNPS'!$G$18), 100), CEILING(C36*(1+'7th_Pay_NPS_RNPS'!$G$18), 100)-100))</f>
        <v/>
      </c>
      <c r="D37" s="22" t="str">
        <f t="shared" si="11"/>
        <v/>
      </c>
      <c r="E37" s="61" t="str">
        <f t="shared" si="0"/>
        <v/>
      </c>
      <c r="F37" s="61" t="str">
        <f t="shared" si="1"/>
        <v/>
      </c>
      <c r="G37" s="61" t="str">
        <f t="shared" si="2"/>
        <v/>
      </c>
      <c r="H37" s="61" t="str">
        <f t="shared" si="3"/>
        <v/>
      </c>
      <c r="I37" s="61" t="str">
        <f t="shared" si="4"/>
        <v/>
      </c>
      <c r="J37" s="62" t="str">
        <f>IF(A37="", "", IF(B37=YEAR('7th_Pay_NPS_RNPS'!$G$10), MONTH('7th_Pay_NPS_RNPS'!$G$10), 12))</f>
        <v/>
      </c>
      <c r="K37" s="61" t="str">
        <f t="shared" si="5"/>
        <v/>
      </c>
      <c r="L37" s="61" t="str">
        <f t="shared" si="6"/>
        <v/>
      </c>
      <c r="M37" s="61" t="str">
        <f t="shared" si="7"/>
        <v/>
      </c>
      <c r="N37" s="61" t="str">
        <f t="shared" si="8"/>
        <v/>
      </c>
      <c r="O37" s="61" t="str">
        <f t="shared" si="9"/>
        <v/>
      </c>
      <c r="P37" s="61" t="str">
        <f t="shared" si="10"/>
        <v/>
      </c>
    </row>
    <row r="38" spans="1:16" x14ac:dyDescent="0.25">
      <c r="A38" s="17" t="str">
        <f>IF(2042&lt;=YEAR('7th_Pay_NPS_RNPS'!$G$10), 17, "")</f>
        <v/>
      </c>
      <c r="B38" s="17" t="str">
        <f>IF(A38="", "", 2042)</f>
        <v/>
      </c>
      <c r="C38" s="59" t="str">
        <f>IF(A38="", "", IF(CEILING(C37*(1+'7th_Pay_NPS_RNPS'!$G$18), 100)-ROUND(C37*(1+'7th_Pay_NPS_RNPS'!$G$18), 0)&lt;=50, CEILING(C37*(1+'7th_Pay_NPS_RNPS'!$G$18), 100), CEILING(C37*(1+'7th_Pay_NPS_RNPS'!$G$18), 100)-100))</f>
        <v/>
      </c>
      <c r="D38" s="22" t="str">
        <f t="shared" si="11"/>
        <v/>
      </c>
      <c r="E38" s="59" t="str">
        <f t="shared" si="0"/>
        <v/>
      </c>
      <c r="F38" s="59" t="str">
        <f t="shared" si="1"/>
        <v/>
      </c>
      <c r="G38" s="59" t="str">
        <f t="shared" si="2"/>
        <v/>
      </c>
      <c r="H38" s="59" t="str">
        <f t="shared" si="3"/>
        <v/>
      </c>
      <c r="I38" s="59" t="str">
        <f t="shared" si="4"/>
        <v/>
      </c>
      <c r="J38" s="60" t="str">
        <f>IF(A38="", "", IF(B38=YEAR('7th_Pay_NPS_RNPS'!$G$10), MONTH('7th_Pay_NPS_RNPS'!$G$10), 12))</f>
        <v/>
      </c>
      <c r="K38" s="59" t="str">
        <f t="shared" si="5"/>
        <v/>
      </c>
      <c r="L38" s="59" t="str">
        <f t="shared" si="6"/>
        <v/>
      </c>
      <c r="M38" s="59" t="str">
        <f t="shared" si="7"/>
        <v/>
      </c>
      <c r="N38" s="59" t="str">
        <f t="shared" si="8"/>
        <v/>
      </c>
      <c r="O38" s="59" t="str">
        <f t="shared" si="9"/>
        <v/>
      </c>
      <c r="P38" s="59" t="str">
        <f t="shared" si="10"/>
        <v/>
      </c>
    </row>
    <row r="39" spans="1:16" x14ac:dyDescent="0.25">
      <c r="A39" s="20" t="str">
        <f>IF(2043&lt;=YEAR('7th_Pay_NPS_RNPS'!$G$10), 18, "")</f>
        <v/>
      </c>
      <c r="B39" s="20" t="str">
        <f>IF(A39="", "", 2043)</f>
        <v/>
      </c>
      <c r="C39" s="61" t="str">
        <f>IF(A39="", "", IF(CEILING(C38*(1+'7th_Pay_NPS_RNPS'!$G$18), 100)-ROUND(C38*(1+'7th_Pay_NPS_RNPS'!$G$18), 0)&lt;=50, CEILING(C38*(1+'7th_Pay_NPS_RNPS'!$G$18), 100), CEILING(C38*(1+'7th_Pay_NPS_RNPS'!$G$18), 100)-100))</f>
        <v/>
      </c>
      <c r="D39" s="22" t="str">
        <f t="shared" si="11"/>
        <v/>
      </c>
      <c r="E39" s="61" t="str">
        <f t="shared" si="0"/>
        <v/>
      </c>
      <c r="F39" s="61" t="str">
        <f t="shared" si="1"/>
        <v/>
      </c>
      <c r="G39" s="61" t="str">
        <f t="shared" si="2"/>
        <v/>
      </c>
      <c r="H39" s="61" t="str">
        <f t="shared" si="3"/>
        <v/>
      </c>
      <c r="I39" s="61" t="str">
        <f t="shared" si="4"/>
        <v/>
      </c>
      <c r="J39" s="62" t="str">
        <f>IF(A39="", "", IF(B39=YEAR('7th_Pay_NPS_RNPS'!$G$10), MONTH('7th_Pay_NPS_RNPS'!$G$10), 12))</f>
        <v/>
      </c>
      <c r="K39" s="61" t="str">
        <f t="shared" si="5"/>
        <v/>
      </c>
      <c r="L39" s="61" t="str">
        <f t="shared" si="6"/>
        <v/>
      </c>
      <c r="M39" s="61" t="str">
        <f t="shared" si="7"/>
        <v/>
      </c>
      <c r="N39" s="61" t="str">
        <f t="shared" si="8"/>
        <v/>
      </c>
      <c r="O39" s="61" t="str">
        <f t="shared" si="9"/>
        <v/>
      </c>
      <c r="P39" s="61" t="str">
        <f t="shared" si="10"/>
        <v/>
      </c>
    </row>
    <row r="40" spans="1:16" x14ac:dyDescent="0.25">
      <c r="A40" s="17" t="str">
        <f>IF(2044&lt;=YEAR('7th_Pay_NPS_RNPS'!$G$10), 19, "")</f>
        <v/>
      </c>
      <c r="B40" s="17" t="str">
        <f>IF(A40="", "", 2044)</f>
        <v/>
      </c>
      <c r="C40" s="59" t="str">
        <f>IF(A40="", "", IF(CEILING(C39*(1+'7th_Pay_NPS_RNPS'!$G$18), 100)-ROUND(C39*(1+'7th_Pay_NPS_RNPS'!$G$18), 0)&lt;=50, CEILING(C39*(1+'7th_Pay_NPS_RNPS'!$G$18), 100), CEILING(C39*(1+'7th_Pay_NPS_RNPS'!$G$18), 100)-100))</f>
        <v/>
      </c>
      <c r="D40" s="22" t="str">
        <f t="shared" si="11"/>
        <v/>
      </c>
      <c r="E40" s="59" t="str">
        <f t="shared" si="0"/>
        <v/>
      </c>
      <c r="F40" s="59" t="str">
        <f t="shared" si="1"/>
        <v/>
      </c>
      <c r="G40" s="59" t="str">
        <f t="shared" si="2"/>
        <v/>
      </c>
      <c r="H40" s="59" t="str">
        <f t="shared" si="3"/>
        <v/>
      </c>
      <c r="I40" s="59" t="str">
        <f t="shared" si="4"/>
        <v/>
      </c>
      <c r="J40" s="60" t="str">
        <f>IF(A40="", "", IF(B40=YEAR('7th_Pay_NPS_RNPS'!$G$10), MONTH('7th_Pay_NPS_RNPS'!$G$10), 12))</f>
        <v/>
      </c>
      <c r="K40" s="59" t="str">
        <f t="shared" si="5"/>
        <v/>
      </c>
      <c r="L40" s="59" t="str">
        <f t="shared" si="6"/>
        <v/>
      </c>
      <c r="M40" s="59" t="str">
        <f t="shared" si="7"/>
        <v/>
      </c>
      <c r="N40" s="59" t="str">
        <f t="shared" si="8"/>
        <v/>
      </c>
      <c r="O40" s="59" t="str">
        <f t="shared" si="9"/>
        <v/>
      </c>
      <c r="P40" s="59" t="str">
        <f t="shared" si="10"/>
        <v/>
      </c>
    </row>
    <row r="41" spans="1:16" x14ac:dyDescent="0.25">
      <c r="A41" s="20" t="str">
        <f>IF(2045&lt;=YEAR('7th_Pay_NPS_RNPS'!$G$10), 20, "")</f>
        <v/>
      </c>
      <c r="B41" s="20" t="str">
        <f>IF(A41="", "", 2045)</f>
        <v/>
      </c>
      <c r="C41" s="61" t="str">
        <f>IF(A41="", "", IF(CEILING(C40*(1+'7th_Pay_NPS_RNPS'!$G$18), 100)-ROUND(C40*(1+'7th_Pay_NPS_RNPS'!$G$18), 0)&lt;=50, CEILING(C40*(1+'7th_Pay_NPS_RNPS'!$G$18), 100), CEILING(C40*(1+'7th_Pay_NPS_RNPS'!$G$18), 100)-100))</f>
        <v/>
      </c>
      <c r="D41" s="22" t="str">
        <f t="shared" si="11"/>
        <v/>
      </c>
      <c r="E41" s="61" t="str">
        <f t="shared" si="0"/>
        <v/>
      </c>
      <c r="F41" s="61" t="str">
        <f t="shared" si="1"/>
        <v/>
      </c>
      <c r="G41" s="61" t="str">
        <f t="shared" si="2"/>
        <v/>
      </c>
      <c r="H41" s="61" t="str">
        <f t="shared" si="3"/>
        <v/>
      </c>
      <c r="I41" s="61" t="str">
        <f t="shared" si="4"/>
        <v/>
      </c>
      <c r="J41" s="62" t="str">
        <f>IF(A41="", "", IF(B41=YEAR('7th_Pay_NPS_RNPS'!$G$10), MONTH('7th_Pay_NPS_RNPS'!$G$10), 12))</f>
        <v/>
      </c>
      <c r="K41" s="61" t="str">
        <f t="shared" si="5"/>
        <v/>
      </c>
      <c r="L41" s="61" t="str">
        <f t="shared" si="6"/>
        <v/>
      </c>
      <c r="M41" s="61" t="str">
        <f t="shared" si="7"/>
        <v/>
      </c>
      <c r="N41" s="61" t="str">
        <f t="shared" si="8"/>
        <v/>
      </c>
      <c r="O41" s="61" t="str">
        <f t="shared" si="9"/>
        <v/>
      </c>
      <c r="P41" s="61" t="str">
        <f t="shared" si="10"/>
        <v/>
      </c>
    </row>
    <row r="42" spans="1:16" x14ac:dyDescent="0.25">
      <c r="A42" s="17" t="str">
        <f>IF(2046&lt;=YEAR('7th_Pay_NPS_RNPS'!$G$10), 21, "")</f>
        <v/>
      </c>
      <c r="B42" s="17" t="str">
        <f>IF(A42="", "", 2046)</f>
        <v/>
      </c>
      <c r="C42" s="59" t="str">
        <f>IF(A42="", "", IF(CEILING(C41*(1+'7th_Pay_NPS_RNPS'!$G$18), 100)-ROUND(C41*(1+'7th_Pay_NPS_RNPS'!$G$18), 0)&lt;=50, CEILING(C41*(1+'7th_Pay_NPS_RNPS'!$G$18), 100), CEILING(C41*(1+'7th_Pay_NPS_RNPS'!$G$18), 100)-100))</f>
        <v/>
      </c>
      <c r="D42" s="22" t="str">
        <f t="shared" si="11"/>
        <v/>
      </c>
      <c r="E42" s="59" t="str">
        <f t="shared" si="0"/>
        <v/>
      </c>
      <c r="F42" s="59" t="str">
        <f t="shared" si="1"/>
        <v/>
      </c>
      <c r="G42" s="59" t="str">
        <f t="shared" si="2"/>
        <v/>
      </c>
      <c r="H42" s="59" t="str">
        <f t="shared" si="3"/>
        <v/>
      </c>
      <c r="I42" s="59" t="str">
        <f t="shared" si="4"/>
        <v/>
      </c>
      <c r="J42" s="60" t="str">
        <f>IF(A42="", "", IF(B42=YEAR('7th_Pay_NPS_RNPS'!$G$10), MONTH('7th_Pay_NPS_RNPS'!$G$10), 12))</f>
        <v/>
      </c>
      <c r="K42" s="59" t="str">
        <f t="shared" si="5"/>
        <v/>
      </c>
      <c r="L42" s="59" t="str">
        <f t="shared" si="6"/>
        <v/>
      </c>
      <c r="M42" s="59" t="str">
        <f t="shared" si="7"/>
        <v/>
      </c>
      <c r="N42" s="59" t="str">
        <f t="shared" si="8"/>
        <v/>
      </c>
      <c r="O42" s="59" t="str">
        <f t="shared" si="9"/>
        <v/>
      </c>
      <c r="P42" s="59" t="str">
        <f t="shared" si="10"/>
        <v/>
      </c>
    </row>
    <row r="43" spans="1:16" x14ac:dyDescent="0.25">
      <c r="A43" s="20" t="str">
        <f>IF(2047&lt;=YEAR('7th_Pay_NPS_RNPS'!$G$10), 22, "")</f>
        <v/>
      </c>
      <c r="B43" s="20" t="str">
        <f>IF(A43="", "", 2047)</f>
        <v/>
      </c>
      <c r="C43" s="61" t="str">
        <f>IF(A43="", "", IF(CEILING(C42*(1+'7th_Pay_NPS_RNPS'!$G$18), 100)-ROUND(C42*(1+'7th_Pay_NPS_RNPS'!$G$18), 0)&lt;=50, CEILING(C42*(1+'7th_Pay_NPS_RNPS'!$G$18), 100), CEILING(C42*(1+'7th_Pay_NPS_RNPS'!$G$18), 100)-100))</f>
        <v/>
      </c>
      <c r="D43" s="22" t="str">
        <f t="shared" si="11"/>
        <v/>
      </c>
      <c r="E43" s="61" t="str">
        <f t="shared" si="0"/>
        <v/>
      </c>
      <c r="F43" s="61" t="str">
        <f t="shared" si="1"/>
        <v/>
      </c>
      <c r="G43" s="61" t="str">
        <f t="shared" si="2"/>
        <v/>
      </c>
      <c r="H43" s="61" t="str">
        <f t="shared" si="3"/>
        <v/>
      </c>
      <c r="I43" s="61" t="str">
        <f t="shared" si="4"/>
        <v/>
      </c>
      <c r="J43" s="62" t="str">
        <f>IF(A43="", "", IF(B43=YEAR('7th_Pay_NPS_RNPS'!$G$10), MONTH('7th_Pay_NPS_RNPS'!$G$10), 12))</f>
        <v/>
      </c>
      <c r="K43" s="61" t="str">
        <f t="shared" si="5"/>
        <v/>
      </c>
      <c r="L43" s="61" t="str">
        <f t="shared" si="6"/>
        <v/>
      </c>
      <c r="M43" s="61" t="str">
        <f t="shared" si="7"/>
        <v/>
      </c>
      <c r="N43" s="61" t="str">
        <f t="shared" si="8"/>
        <v/>
      </c>
      <c r="O43" s="61" t="str">
        <f t="shared" si="9"/>
        <v/>
      </c>
      <c r="P43" s="61" t="str">
        <f t="shared" si="10"/>
        <v/>
      </c>
    </row>
    <row r="44" spans="1:16" x14ac:dyDescent="0.25">
      <c r="A44" s="17" t="str">
        <f>IF(2048&lt;=YEAR('7th_Pay_NPS_RNPS'!$G$10), 23, "")</f>
        <v/>
      </c>
      <c r="B44" s="17" t="str">
        <f>IF(A44="", "", 2048)</f>
        <v/>
      </c>
      <c r="C44" s="59" t="str">
        <f>IF(A44="", "", IF(CEILING(C43*(1+'7th_Pay_NPS_RNPS'!$G$18), 100)-ROUND(C43*(1+'7th_Pay_NPS_RNPS'!$G$18), 0)&lt;=50, CEILING(C43*(1+'7th_Pay_NPS_RNPS'!$G$18), 100), CEILING(C43*(1+'7th_Pay_NPS_RNPS'!$G$18), 100)-100))</f>
        <v/>
      </c>
      <c r="D44" s="22" t="str">
        <f t="shared" si="11"/>
        <v/>
      </c>
      <c r="E44" s="59" t="str">
        <f t="shared" si="0"/>
        <v/>
      </c>
      <c r="F44" s="59" t="str">
        <f t="shared" si="1"/>
        <v/>
      </c>
      <c r="G44" s="59" t="str">
        <f t="shared" si="2"/>
        <v/>
      </c>
      <c r="H44" s="59" t="str">
        <f t="shared" si="3"/>
        <v/>
      </c>
      <c r="I44" s="59" t="str">
        <f t="shared" si="4"/>
        <v/>
      </c>
      <c r="J44" s="60" t="str">
        <f>IF(A44="", "", IF(B44=YEAR('7th_Pay_NPS_RNPS'!$G$10), MONTH('7th_Pay_NPS_RNPS'!$G$10), 12))</f>
        <v/>
      </c>
      <c r="K44" s="59" t="str">
        <f t="shared" si="5"/>
        <v/>
      </c>
      <c r="L44" s="59" t="str">
        <f t="shared" si="6"/>
        <v/>
      </c>
      <c r="M44" s="59" t="str">
        <f t="shared" si="7"/>
        <v/>
      </c>
      <c r="N44" s="59" t="str">
        <f t="shared" si="8"/>
        <v/>
      </c>
      <c r="O44" s="59" t="str">
        <f t="shared" si="9"/>
        <v/>
      </c>
      <c r="P44" s="59" t="str">
        <f t="shared" si="10"/>
        <v/>
      </c>
    </row>
    <row r="45" spans="1:16" x14ac:dyDescent="0.25">
      <c r="A45" s="20" t="str">
        <f>IF(2049&lt;=YEAR('7th_Pay_NPS_RNPS'!$G$10), 24, "")</f>
        <v/>
      </c>
      <c r="B45" s="20" t="str">
        <f>IF(A45="", "", 2049)</f>
        <v/>
      </c>
      <c r="C45" s="61" t="str">
        <f>IF(A45="", "", IF(CEILING(C44*(1+'7th_Pay_NPS_RNPS'!$G$18), 100)-ROUND(C44*(1+'7th_Pay_NPS_RNPS'!$G$18), 0)&lt;=50, CEILING(C44*(1+'7th_Pay_NPS_RNPS'!$G$18), 100), CEILING(C44*(1+'7th_Pay_NPS_RNPS'!$G$18), 100)-100))</f>
        <v/>
      </c>
      <c r="D45" s="22" t="str">
        <f t="shared" si="11"/>
        <v/>
      </c>
      <c r="E45" s="61" t="str">
        <f t="shared" si="0"/>
        <v/>
      </c>
      <c r="F45" s="61" t="str">
        <f t="shared" si="1"/>
        <v/>
      </c>
      <c r="G45" s="61" t="str">
        <f t="shared" si="2"/>
        <v/>
      </c>
      <c r="H45" s="61" t="str">
        <f t="shared" si="3"/>
        <v/>
      </c>
      <c r="I45" s="61" t="str">
        <f t="shared" si="4"/>
        <v/>
      </c>
      <c r="J45" s="62" t="str">
        <f>IF(A45="", "", IF(B45=YEAR('7th_Pay_NPS_RNPS'!$G$10), MONTH('7th_Pay_NPS_RNPS'!$G$10), 12))</f>
        <v/>
      </c>
      <c r="K45" s="61" t="str">
        <f t="shared" si="5"/>
        <v/>
      </c>
      <c r="L45" s="61" t="str">
        <f t="shared" si="6"/>
        <v/>
      </c>
      <c r="M45" s="61" t="str">
        <f t="shared" si="7"/>
        <v/>
      </c>
      <c r="N45" s="61" t="str">
        <f t="shared" si="8"/>
        <v/>
      </c>
      <c r="O45" s="61" t="str">
        <f t="shared" si="9"/>
        <v/>
      </c>
      <c r="P45" s="61" t="str">
        <f t="shared" si="10"/>
        <v/>
      </c>
    </row>
    <row r="46" spans="1:16" x14ac:dyDescent="0.25">
      <c r="A46" s="17" t="str">
        <f>IF(2050&lt;=YEAR('7th_Pay_NPS_RNPS'!$G$10), 25, "")</f>
        <v/>
      </c>
      <c r="B46" s="17" t="str">
        <f>IF(A46="", "", 2050)</f>
        <v/>
      </c>
      <c r="C46" s="59" t="str">
        <f>IF(A46="", "", IF(CEILING(C45*(1+'7th_Pay_NPS_RNPS'!$G$18), 100)-ROUND(C45*(1+'7th_Pay_NPS_RNPS'!$G$18), 0)&lt;=50, CEILING(C45*(1+'7th_Pay_NPS_RNPS'!$G$18), 100), CEILING(C45*(1+'7th_Pay_NPS_RNPS'!$G$18), 100)-100))</f>
        <v/>
      </c>
      <c r="D46" s="22" t="str">
        <f t="shared" si="11"/>
        <v/>
      </c>
      <c r="E46" s="59" t="str">
        <f t="shared" si="0"/>
        <v/>
      </c>
      <c r="F46" s="59" t="str">
        <f t="shared" si="1"/>
        <v/>
      </c>
      <c r="G46" s="59" t="str">
        <f t="shared" si="2"/>
        <v/>
      </c>
      <c r="H46" s="59" t="str">
        <f t="shared" si="3"/>
        <v/>
      </c>
      <c r="I46" s="59" t="str">
        <f t="shared" si="4"/>
        <v/>
      </c>
      <c r="J46" s="60" t="str">
        <f>IF(A46="", "", IF(B46=YEAR('7th_Pay_NPS_RNPS'!$G$10), MONTH('7th_Pay_NPS_RNPS'!$G$10), 12))</f>
        <v/>
      </c>
      <c r="K46" s="59" t="str">
        <f t="shared" si="5"/>
        <v/>
      </c>
      <c r="L46" s="59" t="str">
        <f t="shared" si="6"/>
        <v/>
      </c>
      <c r="M46" s="59" t="str">
        <f t="shared" si="7"/>
        <v/>
      </c>
      <c r="N46" s="59" t="str">
        <f t="shared" si="8"/>
        <v/>
      </c>
      <c r="O46" s="59" t="str">
        <f t="shared" si="9"/>
        <v/>
      </c>
      <c r="P46" s="59" t="str">
        <f t="shared" si="10"/>
        <v/>
      </c>
    </row>
    <row r="47" spans="1:16" x14ac:dyDescent="0.25">
      <c r="A47" s="20" t="str">
        <f>IF(2051&lt;=YEAR('7th_Pay_NPS_RNPS'!$G$10), 26, "")</f>
        <v/>
      </c>
      <c r="B47" s="20" t="str">
        <f>IF(A47="", "", 2051)</f>
        <v/>
      </c>
      <c r="C47" s="61" t="str">
        <f>IF(A47="", "", IF(CEILING(C46*(1+'7th_Pay_NPS_RNPS'!$G$18), 100)-ROUND(C46*(1+'7th_Pay_NPS_RNPS'!$G$18), 0)&lt;=50, CEILING(C46*(1+'7th_Pay_NPS_RNPS'!$G$18), 100), CEILING(C46*(1+'7th_Pay_NPS_RNPS'!$G$18), 100)-100))</f>
        <v/>
      </c>
      <c r="D47" s="22" t="str">
        <f t="shared" si="11"/>
        <v/>
      </c>
      <c r="E47" s="61" t="str">
        <f t="shared" si="0"/>
        <v/>
      </c>
      <c r="F47" s="61" t="str">
        <f t="shared" si="1"/>
        <v/>
      </c>
      <c r="G47" s="61" t="str">
        <f t="shared" si="2"/>
        <v/>
      </c>
      <c r="H47" s="61" t="str">
        <f t="shared" si="3"/>
        <v/>
      </c>
      <c r="I47" s="61" t="str">
        <f t="shared" si="4"/>
        <v/>
      </c>
      <c r="J47" s="62" t="str">
        <f>IF(A47="", "", IF(B47=YEAR('7th_Pay_NPS_RNPS'!$G$10), MONTH('7th_Pay_NPS_RNPS'!$G$10), 12))</f>
        <v/>
      </c>
      <c r="K47" s="61" t="str">
        <f t="shared" si="5"/>
        <v/>
      </c>
      <c r="L47" s="61" t="str">
        <f t="shared" si="6"/>
        <v/>
      </c>
      <c r="M47" s="61" t="str">
        <f t="shared" si="7"/>
        <v/>
      </c>
      <c r="N47" s="61" t="str">
        <f t="shared" si="8"/>
        <v/>
      </c>
      <c r="O47" s="61" t="str">
        <f t="shared" si="9"/>
        <v/>
      </c>
      <c r="P47" s="61" t="str">
        <f t="shared" si="10"/>
        <v/>
      </c>
    </row>
    <row r="48" spans="1:16" x14ac:dyDescent="0.25">
      <c r="A48" s="17" t="str">
        <f>IF(2052&lt;=YEAR('7th_Pay_NPS_RNPS'!$G$10), 27, "")</f>
        <v/>
      </c>
      <c r="B48" s="17" t="str">
        <f>IF(A48="", "", 2052)</f>
        <v/>
      </c>
      <c r="C48" s="59" t="str">
        <f>IF(A48="", "", IF(CEILING(C47*(1+'7th_Pay_NPS_RNPS'!$G$18), 100)-ROUND(C47*(1+'7th_Pay_NPS_RNPS'!$G$18), 0)&lt;=50, CEILING(C47*(1+'7th_Pay_NPS_RNPS'!$G$18), 100), CEILING(C47*(1+'7th_Pay_NPS_RNPS'!$G$18), 100)-100))</f>
        <v/>
      </c>
      <c r="D48" s="22" t="str">
        <f t="shared" si="11"/>
        <v/>
      </c>
      <c r="E48" s="59" t="str">
        <f t="shared" si="0"/>
        <v/>
      </c>
      <c r="F48" s="59" t="str">
        <f t="shared" si="1"/>
        <v/>
      </c>
      <c r="G48" s="59" t="str">
        <f t="shared" si="2"/>
        <v/>
      </c>
      <c r="H48" s="59" t="str">
        <f t="shared" si="3"/>
        <v/>
      </c>
      <c r="I48" s="59" t="str">
        <f t="shared" si="4"/>
        <v/>
      </c>
      <c r="J48" s="60" t="str">
        <f>IF(A48="", "", IF(B48=YEAR('7th_Pay_NPS_RNPS'!$G$10), MONTH('7th_Pay_NPS_RNPS'!$G$10), 12))</f>
        <v/>
      </c>
      <c r="K48" s="59" t="str">
        <f t="shared" si="5"/>
        <v/>
      </c>
      <c r="L48" s="59" t="str">
        <f t="shared" si="6"/>
        <v/>
      </c>
      <c r="M48" s="59" t="str">
        <f t="shared" si="7"/>
        <v/>
      </c>
      <c r="N48" s="59" t="str">
        <f t="shared" si="8"/>
        <v/>
      </c>
      <c r="O48" s="59" t="str">
        <f t="shared" si="9"/>
        <v/>
      </c>
      <c r="P48" s="59" t="str">
        <f t="shared" si="10"/>
        <v/>
      </c>
    </row>
    <row r="49" spans="1:16" x14ac:dyDescent="0.25">
      <c r="A49" s="20" t="str">
        <f>IF(2053&lt;=YEAR('7th_Pay_NPS_RNPS'!$G$10), 28, "")</f>
        <v/>
      </c>
      <c r="B49" s="20" t="str">
        <f>IF(A49="", "", 2053)</f>
        <v/>
      </c>
      <c r="C49" s="61" t="str">
        <f>IF(A49="", "", IF(CEILING(C48*(1+'7th_Pay_NPS_RNPS'!$G$18), 100)-ROUND(C48*(1+'7th_Pay_NPS_RNPS'!$G$18), 0)&lt;=50, CEILING(C48*(1+'7th_Pay_NPS_RNPS'!$G$18), 100), CEILING(C48*(1+'7th_Pay_NPS_RNPS'!$G$18), 100)-100))</f>
        <v/>
      </c>
      <c r="D49" s="22" t="str">
        <f t="shared" si="11"/>
        <v/>
      </c>
      <c r="E49" s="61" t="str">
        <f t="shared" si="0"/>
        <v/>
      </c>
      <c r="F49" s="61" t="str">
        <f t="shared" si="1"/>
        <v/>
      </c>
      <c r="G49" s="61" t="str">
        <f t="shared" si="2"/>
        <v/>
      </c>
      <c r="H49" s="61" t="str">
        <f t="shared" si="3"/>
        <v/>
      </c>
      <c r="I49" s="61" t="str">
        <f t="shared" si="4"/>
        <v/>
      </c>
      <c r="J49" s="62" t="str">
        <f>IF(A49="", "", IF(B49=YEAR('7th_Pay_NPS_RNPS'!$G$10), MONTH('7th_Pay_NPS_RNPS'!$G$10), 12))</f>
        <v/>
      </c>
      <c r="K49" s="61" t="str">
        <f t="shared" si="5"/>
        <v/>
      </c>
      <c r="L49" s="61" t="str">
        <f t="shared" si="6"/>
        <v/>
      </c>
      <c r="M49" s="61" t="str">
        <f t="shared" si="7"/>
        <v/>
      </c>
      <c r="N49" s="61" t="str">
        <f t="shared" si="8"/>
        <v/>
      </c>
      <c r="O49" s="61" t="str">
        <f t="shared" si="9"/>
        <v/>
      </c>
      <c r="P49" s="61" t="str">
        <f t="shared" si="10"/>
        <v/>
      </c>
    </row>
    <row r="50" spans="1:16" x14ac:dyDescent="0.25">
      <c r="A50" s="17" t="str">
        <f>IF(2054&lt;=YEAR('7th_Pay_NPS_RNPS'!$G$10), 29, "")</f>
        <v/>
      </c>
      <c r="B50" s="17" t="str">
        <f>IF(A50="", "", 2054)</f>
        <v/>
      </c>
      <c r="C50" s="59" t="str">
        <f>IF(A50="", "", IF(CEILING(C49*(1+'7th_Pay_NPS_RNPS'!$G$18), 100)-ROUND(C49*(1+'7th_Pay_NPS_RNPS'!$G$18), 0)&lt;=50, CEILING(C49*(1+'7th_Pay_NPS_RNPS'!$G$18), 100), CEILING(C49*(1+'7th_Pay_NPS_RNPS'!$G$18), 100)-100))</f>
        <v/>
      </c>
      <c r="D50" s="22" t="str">
        <f t="shared" si="11"/>
        <v/>
      </c>
      <c r="E50" s="59" t="str">
        <f t="shared" si="0"/>
        <v/>
      </c>
      <c r="F50" s="59" t="str">
        <f t="shared" si="1"/>
        <v/>
      </c>
      <c r="G50" s="59" t="str">
        <f t="shared" si="2"/>
        <v/>
      </c>
      <c r="H50" s="59" t="str">
        <f t="shared" si="3"/>
        <v/>
      </c>
      <c r="I50" s="59" t="str">
        <f t="shared" si="4"/>
        <v/>
      </c>
      <c r="J50" s="60" t="str">
        <f>IF(A50="", "", IF(B50=YEAR('7th_Pay_NPS_RNPS'!$G$10), MONTH('7th_Pay_NPS_RNPS'!$G$10), 12))</f>
        <v/>
      </c>
      <c r="K50" s="59" t="str">
        <f t="shared" si="5"/>
        <v/>
      </c>
      <c r="L50" s="59" t="str">
        <f t="shared" si="6"/>
        <v/>
      </c>
      <c r="M50" s="59" t="str">
        <f t="shared" si="7"/>
        <v/>
      </c>
      <c r="N50" s="59" t="str">
        <f t="shared" si="8"/>
        <v/>
      </c>
      <c r="O50" s="59" t="str">
        <f t="shared" si="9"/>
        <v/>
      </c>
      <c r="P50" s="59" t="str">
        <f t="shared" si="10"/>
        <v/>
      </c>
    </row>
    <row r="51" spans="1:16" x14ac:dyDescent="0.25">
      <c r="A51" s="20" t="str">
        <f>IF(2055&lt;=YEAR('7th_Pay_NPS_RNPS'!$G$10), 30, "")</f>
        <v/>
      </c>
      <c r="B51" s="20" t="str">
        <f>IF(A51="", "", 2055)</f>
        <v/>
      </c>
      <c r="C51" s="61" t="str">
        <f>IF(A51="", "", IF(CEILING(C50*(1+'7th_Pay_NPS_RNPS'!$G$18), 100)-ROUND(C50*(1+'7th_Pay_NPS_RNPS'!$G$18), 0)&lt;=50, CEILING(C50*(1+'7th_Pay_NPS_RNPS'!$G$18), 100), CEILING(C50*(1+'7th_Pay_NPS_RNPS'!$G$18), 100)-100))</f>
        <v/>
      </c>
      <c r="D51" s="22" t="str">
        <f t="shared" si="11"/>
        <v/>
      </c>
      <c r="E51" s="61" t="str">
        <f t="shared" si="0"/>
        <v/>
      </c>
      <c r="F51" s="61" t="str">
        <f t="shared" si="1"/>
        <v/>
      </c>
      <c r="G51" s="61" t="str">
        <f t="shared" si="2"/>
        <v/>
      </c>
      <c r="H51" s="61" t="str">
        <f t="shared" si="3"/>
        <v/>
      </c>
      <c r="I51" s="61" t="str">
        <f t="shared" si="4"/>
        <v/>
      </c>
      <c r="J51" s="62" t="str">
        <f>IF(A51="", "", IF(B51=YEAR('7th_Pay_NPS_RNPS'!$G$10), MONTH('7th_Pay_NPS_RNPS'!$G$10), 12))</f>
        <v/>
      </c>
      <c r="K51" s="61" t="str">
        <f t="shared" si="5"/>
        <v/>
      </c>
      <c r="L51" s="61" t="str">
        <f t="shared" si="6"/>
        <v/>
      </c>
      <c r="M51" s="61" t="str">
        <f t="shared" si="7"/>
        <v/>
      </c>
      <c r="N51" s="61" t="str">
        <f t="shared" si="8"/>
        <v/>
      </c>
      <c r="O51" s="61" t="str">
        <f t="shared" si="9"/>
        <v/>
      </c>
      <c r="P51" s="61" t="str">
        <f t="shared" si="10"/>
        <v/>
      </c>
    </row>
    <row r="52" spans="1:16" x14ac:dyDescent="0.25">
      <c r="A52" s="17" t="str">
        <f>IF(2056&lt;=YEAR('7th_Pay_NPS_RNPS'!$G$10), 31, "")</f>
        <v/>
      </c>
      <c r="B52" s="17" t="str">
        <f>IF(A52="", "", 2056)</f>
        <v/>
      </c>
      <c r="C52" s="59" t="str">
        <f>IF(A52="", "", IF(CEILING(C51*(1+'7th_Pay_NPS_RNPS'!$G$18), 100)-ROUND(C51*(1+'7th_Pay_NPS_RNPS'!$G$18), 0)&lt;=50, CEILING(C51*(1+'7th_Pay_NPS_RNPS'!$G$18), 100), CEILING(C51*(1+'7th_Pay_NPS_RNPS'!$G$18), 100)-100))</f>
        <v/>
      </c>
      <c r="D52" s="22" t="str">
        <f t="shared" si="11"/>
        <v/>
      </c>
      <c r="E52" s="59" t="str">
        <f t="shared" si="0"/>
        <v/>
      </c>
      <c r="F52" s="59" t="str">
        <f t="shared" si="1"/>
        <v/>
      </c>
      <c r="G52" s="59" t="str">
        <f t="shared" si="2"/>
        <v/>
      </c>
      <c r="H52" s="59" t="str">
        <f t="shared" si="3"/>
        <v/>
      </c>
      <c r="I52" s="59" t="str">
        <f t="shared" si="4"/>
        <v/>
      </c>
      <c r="J52" s="60" t="str">
        <f>IF(A52="", "", IF(B52=YEAR('7th_Pay_NPS_RNPS'!$G$10), MONTH('7th_Pay_NPS_RNPS'!$G$10), 12))</f>
        <v/>
      </c>
      <c r="K52" s="59" t="str">
        <f t="shared" si="5"/>
        <v/>
      </c>
      <c r="L52" s="59" t="str">
        <f t="shared" si="6"/>
        <v/>
      </c>
      <c r="M52" s="59" t="str">
        <f t="shared" si="7"/>
        <v/>
      </c>
      <c r="N52" s="59" t="str">
        <f t="shared" si="8"/>
        <v/>
      </c>
      <c r="O52" s="59" t="str">
        <f t="shared" si="9"/>
        <v/>
      </c>
      <c r="P52" s="59" t="str">
        <f t="shared" si="10"/>
        <v/>
      </c>
    </row>
    <row r="53" spans="1:16" x14ac:dyDescent="0.25">
      <c r="A53" s="20" t="str">
        <f>IF(2057&lt;=YEAR('7th_Pay_NPS_RNPS'!$G$10), 32, "")</f>
        <v/>
      </c>
      <c r="B53" s="20" t="str">
        <f>IF(A53="", "", 2057)</f>
        <v/>
      </c>
      <c r="C53" s="61" t="str">
        <f>IF(A53="", "", IF(CEILING(C52*(1+'7th_Pay_NPS_RNPS'!$G$18), 100)-ROUND(C52*(1+'7th_Pay_NPS_RNPS'!$G$18), 0)&lt;=50, CEILING(C52*(1+'7th_Pay_NPS_RNPS'!$G$18), 100), CEILING(C52*(1+'7th_Pay_NPS_RNPS'!$G$18), 100)-100))</f>
        <v/>
      </c>
      <c r="D53" s="22" t="str">
        <f t="shared" si="11"/>
        <v/>
      </c>
      <c r="E53" s="61" t="str">
        <f t="shared" si="0"/>
        <v/>
      </c>
      <c r="F53" s="61" t="str">
        <f t="shared" si="1"/>
        <v/>
      </c>
      <c r="G53" s="61" t="str">
        <f t="shared" si="2"/>
        <v/>
      </c>
      <c r="H53" s="61" t="str">
        <f t="shared" si="3"/>
        <v/>
      </c>
      <c r="I53" s="61" t="str">
        <f t="shared" si="4"/>
        <v/>
      </c>
      <c r="J53" s="62" t="str">
        <f>IF(A53="", "", IF(B53=YEAR('7th_Pay_NPS_RNPS'!$G$10), MONTH('7th_Pay_NPS_RNPS'!$G$10), 12))</f>
        <v/>
      </c>
      <c r="K53" s="61" t="str">
        <f t="shared" si="5"/>
        <v/>
      </c>
      <c r="L53" s="61" t="str">
        <f t="shared" si="6"/>
        <v/>
      </c>
      <c r="M53" s="61" t="str">
        <f t="shared" si="7"/>
        <v/>
      </c>
      <c r="N53" s="61" t="str">
        <f t="shared" si="8"/>
        <v/>
      </c>
      <c r="O53" s="61" t="str">
        <f t="shared" si="9"/>
        <v/>
      </c>
      <c r="P53" s="61" t="str">
        <f t="shared" si="10"/>
        <v/>
      </c>
    </row>
    <row r="54" spans="1:16" x14ac:dyDescent="0.25">
      <c r="A54" s="17" t="str">
        <f>IF(2058&lt;=YEAR('7th_Pay_NPS_RNPS'!$G$10), 33, "")</f>
        <v/>
      </c>
      <c r="B54" s="17" t="str">
        <f>IF(A54="", "", 2058)</f>
        <v/>
      </c>
      <c r="C54" s="59" t="str">
        <f>IF(A54="", "", IF(CEILING(C53*(1+'7th_Pay_NPS_RNPS'!$G$18), 100)-ROUND(C53*(1+'7th_Pay_NPS_RNPS'!$G$18), 0)&lt;=50, CEILING(C53*(1+'7th_Pay_NPS_RNPS'!$G$18), 100), CEILING(C53*(1+'7th_Pay_NPS_RNPS'!$G$18), 100)-100))</f>
        <v/>
      </c>
      <c r="D54" s="22" t="str">
        <f t="shared" si="11"/>
        <v/>
      </c>
      <c r="E54" s="59" t="str">
        <f t="shared" si="0"/>
        <v/>
      </c>
      <c r="F54" s="59" t="str">
        <f t="shared" si="1"/>
        <v/>
      </c>
      <c r="G54" s="59" t="str">
        <f t="shared" si="2"/>
        <v/>
      </c>
      <c r="H54" s="59" t="str">
        <f t="shared" si="3"/>
        <v/>
      </c>
      <c r="I54" s="59" t="str">
        <f t="shared" si="4"/>
        <v/>
      </c>
      <c r="J54" s="60" t="str">
        <f>IF(A54="", "", IF(B54=YEAR('7th_Pay_NPS_RNPS'!$G$10), MONTH('7th_Pay_NPS_RNPS'!$G$10), 12))</f>
        <v/>
      </c>
      <c r="K54" s="59" t="str">
        <f t="shared" si="5"/>
        <v/>
      </c>
      <c r="L54" s="59" t="str">
        <f t="shared" si="6"/>
        <v/>
      </c>
      <c r="M54" s="59" t="str">
        <f t="shared" si="7"/>
        <v/>
      </c>
      <c r="N54" s="59" t="str">
        <f t="shared" si="8"/>
        <v/>
      </c>
      <c r="O54" s="59" t="str">
        <f t="shared" si="9"/>
        <v/>
      </c>
      <c r="P54" s="59" t="str">
        <f t="shared" si="10"/>
        <v/>
      </c>
    </row>
    <row r="55" spans="1:16" x14ac:dyDescent="0.25">
      <c r="A55" s="20" t="str">
        <f>IF(2059&lt;=YEAR('7th_Pay_NPS_RNPS'!$G$10), 34, "")</f>
        <v/>
      </c>
      <c r="B55" s="20" t="str">
        <f>IF(A55="", "", 2059)</f>
        <v/>
      </c>
      <c r="C55" s="61" t="str">
        <f>IF(A55="", "", IF(CEILING(C54*(1+'7th_Pay_NPS_RNPS'!$G$18), 100)-ROUND(C54*(1+'7th_Pay_NPS_RNPS'!$G$18), 0)&lt;=50, CEILING(C54*(1+'7th_Pay_NPS_RNPS'!$G$18), 100), CEILING(C54*(1+'7th_Pay_NPS_RNPS'!$G$18), 100)-100))</f>
        <v/>
      </c>
      <c r="D55" s="22" t="str">
        <f t="shared" si="11"/>
        <v/>
      </c>
      <c r="E55" s="61" t="str">
        <f t="shared" si="0"/>
        <v/>
      </c>
      <c r="F55" s="61" t="str">
        <f t="shared" si="1"/>
        <v/>
      </c>
      <c r="G55" s="61" t="str">
        <f t="shared" si="2"/>
        <v/>
      </c>
      <c r="H55" s="61" t="str">
        <f t="shared" si="3"/>
        <v/>
      </c>
      <c r="I55" s="61" t="str">
        <f t="shared" si="4"/>
        <v/>
      </c>
      <c r="J55" s="62" t="str">
        <f>IF(A55="", "", IF(B55=YEAR('7th_Pay_NPS_RNPS'!$G$10), MONTH('7th_Pay_NPS_RNPS'!$G$10), 12))</f>
        <v/>
      </c>
      <c r="K55" s="61" t="str">
        <f t="shared" si="5"/>
        <v/>
      </c>
      <c r="L55" s="61" t="str">
        <f t="shared" si="6"/>
        <v/>
      </c>
      <c r="M55" s="61" t="str">
        <f t="shared" si="7"/>
        <v/>
      </c>
      <c r="N55" s="61" t="str">
        <f t="shared" si="8"/>
        <v/>
      </c>
      <c r="O55" s="61" t="str">
        <f t="shared" si="9"/>
        <v/>
      </c>
      <c r="P55" s="61" t="str">
        <f t="shared" si="10"/>
        <v/>
      </c>
    </row>
    <row r="56" spans="1:16" x14ac:dyDescent="0.25">
      <c r="A56" s="17" t="str">
        <f>IF(2060&lt;=YEAR('7th_Pay_NPS_RNPS'!$G$10), 35, "")</f>
        <v/>
      </c>
      <c r="B56" s="17" t="str">
        <f>IF(A56="", "", 2060)</f>
        <v/>
      </c>
      <c r="C56" s="59" t="str">
        <f>IF(A56="", "", IF(CEILING(C55*(1+'7th_Pay_NPS_RNPS'!$G$18), 100)-ROUND(C55*(1+'7th_Pay_NPS_RNPS'!$G$18), 0)&lt;=50, CEILING(C55*(1+'7th_Pay_NPS_RNPS'!$G$18), 100), CEILING(C55*(1+'7th_Pay_NPS_RNPS'!$G$18), 100)-100))</f>
        <v/>
      </c>
      <c r="D56" s="22" t="str">
        <f t="shared" si="11"/>
        <v/>
      </c>
      <c r="E56" s="59" t="str">
        <f t="shared" si="0"/>
        <v/>
      </c>
      <c r="F56" s="59" t="str">
        <f t="shared" si="1"/>
        <v/>
      </c>
      <c r="G56" s="59" t="str">
        <f t="shared" si="2"/>
        <v/>
      </c>
      <c r="H56" s="59" t="str">
        <f t="shared" si="3"/>
        <v/>
      </c>
      <c r="I56" s="59" t="str">
        <f t="shared" si="4"/>
        <v/>
      </c>
      <c r="J56" s="60" t="str">
        <f>IF(A56="", "", IF(B56=YEAR('7th_Pay_NPS_RNPS'!$G$10), MONTH('7th_Pay_NPS_RNPS'!$G$10), 12))</f>
        <v/>
      </c>
      <c r="K56" s="59" t="str">
        <f t="shared" si="5"/>
        <v/>
      </c>
      <c r="L56" s="59" t="str">
        <f t="shared" si="6"/>
        <v/>
      </c>
      <c r="M56" s="59" t="str">
        <f t="shared" si="7"/>
        <v/>
      </c>
      <c r="N56" s="59" t="str">
        <f t="shared" si="8"/>
        <v/>
      </c>
      <c r="O56" s="59" t="str">
        <f t="shared" si="9"/>
        <v/>
      </c>
      <c r="P56" s="59" t="str">
        <f t="shared" si="10"/>
        <v/>
      </c>
    </row>
    <row r="57" spans="1:16" x14ac:dyDescent="0.25">
      <c r="A57" s="23"/>
      <c r="B57" s="24" t="s">
        <v>51</v>
      </c>
      <c r="C57" s="23"/>
      <c r="D57" s="23"/>
      <c r="E57" s="23"/>
      <c r="F57" s="23"/>
      <c r="G57" s="23"/>
      <c r="H57" s="23"/>
      <c r="I57" s="23"/>
      <c r="J57" s="23"/>
      <c r="K57" s="68">
        <f>SUM(K22:K56)</f>
        <v>2915100</v>
      </c>
      <c r="L57" s="68">
        <f>SUM(L22:L56)</f>
        <v>4081116</v>
      </c>
      <c r="M57" s="68">
        <f>SUM(M22:M56)</f>
        <v>6996216</v>
      </c>
      <c r="N57" s="68">
        <f>SUM(N22:N56)</f>
        <v>19513547</v>
      </c>
      <c r="O57" s="68">
        <f>LOOKUP(2, 1/(O22:O56&lt;&gt;""), O22:O56)</f>
        <v>29009763</v>
      </c>
      <c r="P57" s="68">
        <f>LOOKUP(2, 1/(P22:P56&lt;&gt;""), P22:P56)</f>
        <v>12128165</v>
      </c>
    </row>
    <row r="60" spans="1:16" ht="24" customHeight="1" x14ac:dyDescent="0.25">
      <c r="A60" s="44" t="s">
        <v>79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</row>
    <row r="62" spans="1:16" ht="80.25" customHeight="1" x14ac:dyDescent="0.25">
      <c r="A62" s="16" t="s">
        <v>53</v>
      </c>
      <c r="B62" s="16" t="s">
        <v>54</v>
      </c>
      <c r="C62" s="16" t="s">
        <v>55</v>
      </c>
      <c r="D62" s="16" t="s">
        <v>56</v>
      </c>
      <c r="E62" s="16" t="s">
        <v>57</v>
      </c>
      <c r="F62" s="16" t="s">
        <v>58</v>
      </c>
      <c r="G62" s="16" t="s">
        <v>59</v>
      </c>
      <c r="H62" s="16" t="s">
        <v>60</v>
      </c>
      <c r="I62" s="16" t="s">
        <v>61</v>
      </c>
      <c r="K62" s="16" t="s">
        <v>62</v>
      </c>
      <c r="L62" s="75">
        <v>0.06</v>
      </c>
      <c r="M62" s="16" t="s">
        <v>63</v>
      </c>
    </row>
    <row r="63" spans="1:16" x14ac:dyDescent="0.25">
      <c r="A63" s="17">
        <v>1</v>
      </c>
      <c r="B63" s="17">
        <f>YEAR('7th_Pay_NPS_RNPS'!$G$10)+1</f>
        <v>2040</v>
      </c>
      <c r="C63" s="17">
        <f>'7th_Pay_NPS_RNPS'!$G$9+1</f>
        <v>59</v>
      </c>
      <c r="D63" s="59">
        <f>$M$10</f>
        <v>90000</v>
      </c>
      <c r="E63" s="19">
        <f>$M$7+$F$12</f>
        <v>0.4300000000000001</v>
      </c>
      <c r="F63" s="59">
        <f t="shared" ref="F63:F82" si="12">ROUND(D63*(1+E63), 0)</f>
        <v>128700</v>
      </c>
      <c r="G63" s="59">
        <f t="shared" ref="G63:G82" si="13">F63*12</f>
        <v>1544400</v>
      </c>
      <c r="H63" s="59">
        <f>G63</f>
        <v>1544400</v>
      </c>
      <c r="I63" s="59">
        <f>MAX(0, $M$9-H63)</f>
        <v>10583765</v>
      </c>
      <c r="K63" s="59">
        <f>MAX(0, $M$8-H63)</f>
        <v>27465363</v>
      </c>
      <c r="L63" s="61">
        <f>+ROUND(K63*$L$62,0)</f>
        <v>1647922</v>
      </c>
      <c r="M63" s="26" t="str">
        <f>IF(H63&lt;=$M$9, "स्वतःचा हिस्सा चालू", IF(H63&lt;=$M$8,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64" spans="1:16" x14ac:dyDescent="0.25">
      <c r="A64" s="20">
        <v>2</v>
      </c>
      <c r="B64" s="20">
        <f t="shared" ref="B64:B82" si="14">B63+1</f>
        <v>2041</v>
      </c>
      <c r="C64" s="20">
        <f t="shared" ref="C64:C82" si="15">C63+1</f>
        <v>60</v>
      </c>
      <c r="D64" s="61">
        <f t="shared" ref="D64:D82" si="16">D63</f>
        <v>90000</v>
      </c>
      <c r="E64" s="22">
        <f t="shared" ref="E64:E82" si="17">E63+$F$12</f>
        <v>0.47000000000000008</v>
      </c>
      <c r="F64" s="61">
        <f t="shared" si="12"/>
        <v>132300</v>
      </c>
      <c r="G64" s="61">
        <f t="shared" si="13"/>
        <v>1587600</v>
      </c>
      <c r="H64" s="61">
        <f t="shared" ref="H64:H82" si="18">H63+G64</f>
        <v>3132000</v>
      </c>
      <c r="I64" s="61">
        <f>MAX(0, $M$9-H64)</f>
        <v>8996165</v>
      </c>
      <c r="J64" s="61">
        <f>+L63</f>
        <v>1647922</v>
      </c>
      <c r="K64" s="61">
        <f>MAX(0, $M$8-H64)+J64</f>
        <v>27525685</v>
      </c>
      <c r="L64" s="61">
        <f t="shared" ref="L64:L82" si="19">+ROUND(K64*$L$62,0)</f>
        <v>1651541</v>
      </c>
      <c r="M64" s="27" t="str">
        <f>IF(H64&lt;=$M$9, "स्वतःचा हिस्सा चालू", IF(H64&lt;=$M$8,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65" spans="1:13" x14ac:dyDescent="0.25">
      <c r="A65" s="17">
        <v>3</v>
      </c>
      <c r="B65" s="17">
        <f t="shared" si="14"/>
        <v>2042</v>
      </c>
      <c r="C65" s="17">
        <f t="shared" si="15"/>
        <v>61</v>
      </c>
      <c r="D65" s="59">
        <f t="shared" si="16"/>
        <v>90000</v>
      </c>
      <c r="E65" s="19">
        <f t="shared" si="17"/>
        <v>0.51000000000000012</v>
      </c>
      <c r="F65" s="59">
        <f t="shared" si="12"/>
        <v>135900</v>
      </c>
      <c r="G65" s="59">
        <f t="shared" si="13"/>
        <v>1630800</v>
      </c>
      <c r="H65" s="59">
        <f t="shared" si="18"/>
        <v>4762800</v>
      </c>
      <c r="I65" s="59">
        <f>MAX(0, $M$9-H65)</f>
        <v>7365365</v>
      </c>
      <c r="J65" s="61">
        <f t="shared" ref="J65:J82" si="20">+L64</f>
        <v>1651541</v>
      </c>
      <c r="K65" s="61">
        <f t="shared" ref="K65:K82" si="21">MAX(0, $M$8-H65)+J65</f>
        <v>25898504</v>
      </c>
      <c r="L65" s="61">
        <f t="shared" si="19"/>
        <v>1553910</v>
      </c>
      <c r="M65" s="26" t="str">
        <f>IF(H65&lt;=$M$9, "स्वतःचा हिस्सा चालू", IF(H65&lt;=$M$8,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66" spans="1:13" x14ac:dyDescent="0.25">
      <c r="A66" s="20">
        <v>4</v>
      </c>
      <c r="B66" s="20">
        <f t="shared" si="14"/>
        <v>2043</v>
      </c>
      <c r="C66" s="20">
        <f t="shared" si="15"/>
        <v>62</v>
      </c>
      <c r="D66" s="61">
        <f t="shared" si="16"/>
        <v>90000</v>
      </c>
      <c r="E66" s="22">
        <f t="shared" si="17"/>
        <v>0.55000000000000016</v>
      </c>
      <c r="F66" s="61">
        <f t="shared" si="12"/>
        <v>139500</v>
      </c>
      <c r="G66" s="61">
        <f t="shared" si="13"/>
        <v>1674000</v>
      </c>
      <c r="H66" s="61">
        <f t="shared" si="18"/>
        <v>6436800</v>
      </c>
      <c r="I66" s="61">
        <f>MAX(0, $M$9-H66)</f>
        <v>5691365</v>
      </c>
      <c r="J66" s="61">
        <f t="shared" si="20"/>
        <v>1553910</v>
      </c>
      <c r="K66" s="61">
        <f t="shared" si="21"/>
        <v>24126873</v>
      </c>
      <c r="L66" s="61">
        <f t="shared" si="19"/>
        <v>1447612</v>
      </c>
      <c r="M66" s="27" t="str">
        <f>IF(H66&lt;=$M$9, "स्वतःचा हिस्सा चालू", IF(H66&lt;=$M$8,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67" spans="1:13" x14ac:dyDescent="0.25">
      <c r="A67" s="17">
        <v>5</v>
      </c>
      <c r="B67" s="17">
        <f t="shared" si="14"/>
        <v>2044</v>
      </c>
      <c r="C67" s="17">
        <f t="shared" si="15"/>
        <v>63</v>
      </c>
      <c r="D67" s="59">
        <f t="shared" si="16"/>
        <v>90000</v>
      </c>
      <c r="E67" s="19">
        <f t="shared" si="17"/>
        <v>0.59000000000000019</v>
      </c>
      <c r="F67" s="59">
        <f t="shared" si="12"/>
        <v>143100</v>
      </c>
      <c r="G67" s="59">
        <f t="shared" si="13"/>
        <v>1717200</v>
      </c>
      <c r="H67" s="59">
        <f t="shared" si="18"/>
        <v>8154000</v>
      </c>
      <c r="I67" s="59">
        <f>MAX(0, $M$9-H67)</f>
        <v>3974165</v>
      </c>
      <c r="J67" s="61">
        <f t="shared" si="20"/>
        <v>1447612</v>
      </c>
      <c r="K67" s="61">
        <f t="shared" si="21"/>
        <v>22303375</v>
      </c>
      <c r="L67" s="61">
        <f t="shared" si="19"/>
        <v>1338203</v>
      </c>
      <c r="M67" s="26" t="str">
        <f>IF(H67&lt;=$M$9, "स्वतःचा हिस्सा चालू", IF(H67&lt;=$M$8,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68" spans="1:13" x14ac:dyDescent="0.25">
      <c r="A68" s="20">
        <v>6</v>
      </c>
      <c r="B68" s="20">
        <f t="shared" si="14"/>
        <v>2045</v>
      </c>
      <c r="C68" s="20">
        <f t="shared" si="15"/>
        <v>64</v>
      </c>
      <c r="D68" s="61">
        <f t="shared" si="16"/>
        <v>90000</v>
      </c>
      <c r="E68" s="22">
        <f t="shared" si="17"/>
        <v>0.63000000000000023</v>
      </c>
      <c r="F68" s="61">
        <f t="shared" si="12"/>
        <v>146700</v>
      </c>
      <c r="G68" s="61">
        <f t="shared" si="13"/>
        <v>1760400</v>
      </c>
      <c r="H68" s="61">
        <f t="shared" si="18"/>
        <v>9914400</v>
      </c>
      <c r="I68" s="61">
        <f>MAX(0, $M$9-H68)</f>
        <v>2213765</v>
      </c>
      <c r="J68" s="61">
        <f t="shared" si="20"/>
        <v>1338203</v>
      </c>
      <c r="K68" s="61">
        <f t="shared" si="21"/>
        <v>20433566</v>
      </c>
      <c r="L68" s="61">
        <f t="shared" si="19"/>
        <v>1226014</v>
      </c>
      <c r="M68" s="27" t="str">
        <f>IF(H68&lt;=$M$9, "स्वतःचा हिस्सा चालू", IF(H68&lt;=$M$8,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69" spans="1:13" x14ac:dyDescent="0.25">
      <c r="A69" s="17">
        <v>7</v>
      </c>
      <c r="B69" s="17">
        <f t="shared" si="14"/>
        <v>2046</v>
      </c>
      <c r="C69" s="17">
        <f t="shared" si="15"/>
        <v>65</v>
      </c>
      <c r="D69" s="59">
        <f t="shared" si="16"/>
        <v>90000</v>
      </c>
      <c r="E69" s="19">
        <f t="shared" si="17"/>
        <v>0.67000000000000026</v>
      </c>
      <c r="F69" s="59">
        <f t="shared" si="12"/>
        <v>150300</v>
      </c>
      <c r="G69" s="59">
        <f t="shared" si="13"/>
        <v>1803600</v>
      </c>
      <c r="H69" s="59">
        <f t="shared" si="18"/>
        <v>11718000</v>
      </c>
      <c r="I69" s="59">
        <f>MAX(0, $M$9-H69)</f>
        <v>410165</v>
      </c>
      <c r="J69" s="61">
        <f t="shared" si="20"/>
        <v>1226014</v>
      </c>
      <c r="K69" s="61">
        <f>MAX(0, $M$8-H69)+J69</f>
        <v>18517777</v>
      </c>
      <c r="L69" s="61">
        <f t="shared" si="19"/>
        <v>1111067</v>
      </c>
      <c r="M69" s="26" t="str">
        <f>IF(H69&lt;=$M$9, "स्वतःचा हिस्सा चालू", IF(H69&lt;=$M$8, "शासकीय कॉर्पसमधून पेन्शन", "★ शासनाकडून मोफत पेन्शन (तिजोरीतून)"))</f>
        <v>स्वतःचा हिस्सा चालू</v>
      </c>
    </row>
    <row r="70" spans="1:13" x14ac:dyDescent="0.25">
      <c r="A70" s="20">
        <v>8</v>
      </c>
      <c r="B70" s="20">
        <f t="shared" si="14"/>
        <v>2047</v>
      </c>
      <c r="C70" s="20">
        <f t="shared" si="15"/>
        <v>66</v>
      </c>
      <c r="D70" s="61">
        <f t="shared" si="16"/>
        <v>90000</v>
      </c>
      <c r="E70" s="22">
        <f t="shared" si="17"/>
        <v>0.7100000000000003</v>
      </c>
      <c r="F70" s="61">
        <f t="shared" si="12"/>
        <v>153900</v>
      </c>
      <c r="G70" s="61">
        <f t="shared" si="13"/>
        <v>1846800</v>
      </c>
      <c r="H70" s="61">
        <f t="shared" si="18"/>
        <v>13564800</v>
      </c>
      <c r="I70" s="61">
        <f>MAX(0, $M$9-H70)</f>
        <v>0</v>
      </c>
      <c r="J70" s="61">
        <f t="shared" si="20"/>
        <v>1111067</v>
      </c>
      <c r="K70" s="61">
        <f t="shared" si="21"/>
        <v>16556030</v>
      </c>
      <c r="L70" s="61">
        <f t="shared" si="19"/>
        <v>993362</v>
      </c>
      <c r="M70" s="27" t="str">
        <f>IF(H70&lt;=$M$9, "स्वतःचा हिस्सा चालू", IF(H70&lt;=$M$8,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1" spans="1:13" x14ac:dyDescent="0.25">
      <c r="A71" s="17">
        <v>9</v>
      </c>
      <c r="B71" s="17">
        <f t="shared" si="14"/>
        <v>2048</v>
      </c>
      <c r="C71" s="17">
        <f t="shared" si="15"/>
        <v>67</v>
      </c>
      <c r="D71" s="59">
        <f t="shared" si="16"/>
        <v>90000</v>
      </c>
      <c r="E71" s="19">
        <f t="shared" si="17"/>
        <v>0.75000000000000033</v>
      </c>
      <c r="F71" s="59">
        <f t="shared" si="12"/>
        <v>157500</v>
      </c>
      <c r="G71" s="59">
        <f t="shared" si="13"/>
        <v>1890000</v>
      </c>
      <c r="H71" s="59">
        <f t="shared" si="18"/>
        <v>15454800</v>
      </c>
      <c r="I71" s="59">
        <f>MAX(0, $M$9-H71)</f>
        <v>0</v>
      </c>
      <c r="J71" s="61">
        <f t="shared" si="20"/>
        <v>993362</v>
      </c>
      <c r="K71" s="61">
        <f t="shared" si="21"/>
        <v>14548325</v>
      </c>
      <c r="L71" s="61">
        <f t="shared" si="19"/>
        <v>872900</v>
      </c>
      <c r="M71" s="26" t="str">
        <f>IF(H71&lt;=$M$9, "स्वतःचा हिस्सा चालू", IF(H71&lt;=$M$8,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2" spans="1:13" x14ac:dyDescent="0.25">
      <c r="A72" s="20">
        <v>10</v>
      </c>
      <c r="B72" s="20">
        <f t="shared" si="14"/>
        <v>2049</v>
      </c>
      <c r="C72" s="20">
        <f t="shared" si="15"/>
        <v>68</v>
      </c>
      <c r="D72" s="61">
        <f t="shared" si="16"/>
        <v>90000</v>
      </c>
      <c r="E72" s="22">
        <f t="shared" si="17"/>
        <v>0.79000000000000037</v>
      </c>
      <c r="F72" s="61">
        <f t="shared" si="12"/>
        <v>161100</v>
      </c>
      <c r="G72" s="61">
        <f t="shared" si="13"/>
        <v>1933200</v>
      </c>
      <c r="H72" s="61">
        <f t="shared" si="18"/>
        <v>17388000</v>
      </c>
      <c r="I72" s="61">
        <f>MAX(0, $M$9-H72)</f>
        <v>0</v>
      </c>
      <c r="J72" s="61">
        <f t="shared" si="20"/>
        <v>872900</v>
      </c>
      <c r="K72" s="61">
        <f t="shared" si="21"/>
        <v>12494663</v>
      </c>
      <c r="L72" s="61">
        <f t="shared" si="19"/>
        <v>749680</v>
      </c>
      <c r="M72" s="27" t="str">
        <f>IF(H72&lt;=$M$9, "स्वतःचा हिस्सा चालू", IF(H72&lt;=$M$8,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3" spans="1:13" x14ac:dyDescent="0.25">
      <c r="A73" s="17">
        <v>11</v>
      </c>
      <c r="B73" s="17">
        <f t="shared" si="14"/>
        <v>2050</v>
      </c>
      <c r="C73" s="17">
        <f t="shared" si="15"/>
        <v>69</v>
      </c>
      <c r="D73" s="59">
        <f t="shared" si="16"/>
        <v>90000</v>
      </c>
      <c r="E73" s="19">
        <f t="shared" si="17"/>
        <v>0.8300000000000004</v>
      </c>
      <c r="F73" s="59">
        <f t="shared" si="12"/>
        <v>164700</v>
      </c>
      <c r="G73" s="59">
        <f t="shared" si="13"/>
        <v>1976400</v>
      </c>
      <c r="H73" s="59">
        <f t="shared" si="18"/>
        <v>19364400</v>
      </c>
      <c r="I73" s="59">
        <f>MAX(0, $M$9-H73)</f>
        <v>0</v>
      </c>
      <c r="J73" s="61">
        <f t="shared" si="20"/>
        <v>749680</v>
      </c>
      <c r="K73" s="61">
        <f t="shared" si="21"/>
        <v>10395043</v>
      </c>
      <c r="L73" s="61">
        <f t="shared" si="19"/>
        <v>623703</v>
      </c>
      <c r="M73" s="26" t="str">
        <f>IF(H73&lt;=$M$9, "स्वतःचा हिस्सा चालू", IF(H73&lt;=$M$8,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4" spans="1:13" x14ac:dyDescent="0.25">
      <c r="A74" s="20">
        <v>12</v>
      </c>
      <c r="B74" s="20">
        <f t="shared" si="14"/>
        <v>2051</v>
      </c>
      <c r="C74" s="20">
        <f t="shared" si="15"/>
        <v>70</v>
      </c>
      <c r="D74" s="61">
        <f t="shared" si="16"/>
        <v>90000</v>
      </c>
      <c r="E74" s="22">
        <f t="shared" si="17"/>
        <v>0.87000000000000044</v>
      </c>
      <c r="F74" s="61">
        <f t="shared" si="12"/>
        <v>168300</v>
      </c>
      <c r="G74" s="61">
        <f t="shared" si="13"/>
        <v>2019600</v>
      </c>
      <c r="H74" s="61">
        <f t="shared" si="18"/>
        <v>21384000</v>
      </c>
      <c r="I74" s="61">
        <f>MAX(0, $M$9-H74)</f>
        <v>0</v>
      </c>
      <c r="J74" s="61">
        <f t="shared" si="20"/>
        <v>623703</v>
      </c>
      <c r="K74" s="61">
        <f t="shared" si="21"/>
        <v>8249466</v>
      </c>
      <c r="L74" s="61">
        <f t="shared" si="19"/>
        <v>494968</v>
      </c>
      <c r="M74" s="27" t="str">
        <f>IF(H74&lt;=$M$9, "स्वतःचा हिस्सा चालू", IF(H74&lt;=$M$8,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5" spans="1:13" x14ac:dyDescent="0.25">
      <c r="A75" s="17">
        <v>13</v>
      </c>
      <c r="B75" s="17">
        <f t="shared" si="14"/>
        <v>2052</v>
      </c>
      <c r="C75" s="17">
        <f t="shared" si="15"/>
        <v>71</v>
      </c>
      <c r="D75" s="59">
        <f t="shared" si="16"/>
        <v>90000</v>
      </c>
      <c r="E75" s="19">
        <f t="shared" si="17"/>
        <v>0.91000000000000048</v>
      </c>
      <c r="F75" s="59">
        <f t="shared" si="12"/>
        <v>171900</v>
      </c>
      <c r="G75" s="59">
        <f t="shared" si="13"/>
        <v>2062800</v>
      </c>
      <c r="H75" s="59">
        <f t="shared" si="18"/>
        <v>23446800</v>
      </c>
      <c r="I75" s="59">
        <f>MAX(0, $M$9-H75)</f>
        <v>0</v>
      </c>
      <c r="J75" s="61">
        <f t="shared" si="20"/>
        <v>494968</v>
      </c>
      <c r="K75" s="61">
        <f t="shared" si="21"/>
        <v>6057931</v>
      </c>
      <c r="L75" s="61">
        <f t="shared" si="19"/>
        <v>363476</v>
      </c>
      <c r="M75" s="26" t="str">
        <f>IF(H75&lt;=$M$9, "स्वतःचा हिस्सा चालू", IF(H75&lt;=$M$8,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6" spans="1:13" x14ac:dyDescent="0.25">
      <c r="A76" s="20">
        <v>14</v>
      </c>
      <c r="B76" s="20">
        <f t="shared" si="14"/>
        <v>2053</v>
      </c>
      <c r="C76" s="20">
        <f t="shared" si="15"/>
        <v>72</v>
      </c>
      <c r="D76" s="61">
        <f t="shared" si="16"/>
        <v>90000</v>
      </c>
      <c r="E76" s="22">
        <f t="shared" si="17"/>
        <v>0.95000000000000051</v>
      </c>
      <c r="F76" s="61">
        <f t="shared" si="12"/>
        <v>175500</v>
      </c>
      <c r="G76" s="61">
        <f t="shared" si="13"/>
        <v>2106000</v>
      </c>
      <c r="H76" s="61">
        <f t="shared" si="18"/>
        <v>25552800</v>
      </c>
      <c r="I76" s="61">
        <f>MAX(0, $M$9-H76)</f>
        <v>0</v>
      </c>
      <c r="J76" s="61">
        <f t="shared" si="20"/>
        <v>363476</v>
      </c>
      <c r="K76" s="61">
        <f t="shared" si="21"/>
        <v>3820439</v>
      </c>
      <c r="L76" s="61">
        <f t="shared" si="19"/>
        <v>229226</v>
      </c>
      <c r="M76" s="27" t="str">
        <f>IF(H76&lt;=$M$9, "स्वतःचा हिस्सा चालू", IF(H76&lt;=$M$8,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7" spans="1:13" x14ac:dyDescent="0.25">
      <c r="A77" s="17">
        <v>15</v>
      </c>
      <c r="B77" s="17">
        <f t="shared" si="14"/>
        <v>2054</v>
      </c>
      <c r="C77" s="17">
        <f t="shared" si="15"/>
        <v>73</v>
      </c>
      <c r="D77" s="59">
        <f t="shared" si="16"/>
        <v>90000</v>
      </c>
      <c r="E77" s="19">
        <f t="shared" si="17"/>
        <v>0.99000000000000055</v>
      </c>
      <c r="F77" s="59">
        <f t="shared" si="12"/>
        <v>179100</v>
      </c>
      <c r="G77" s="59">
        <f t="shared" si="13"/>
        <v>2149200</v>
      </c>
      <c r="H77" s="59">
        <f t="shared" si="18"/>
        <v>27702000</v>
      </c>
      <c r="I77" s="59">
        <f>MAX(0, $M$9-H77)</f>
        <v>0</v>
      </c>
      <c r="J77" s="61">
        <f t="shared" si="20"/>
        <v>229226</v>
      </c>
      <c r="K77" s="61">
        <f t="shared" si="21"/>
        <v>1536989</v>
      </c>
      <c r="L77" s="61">
        <f t="shared" si="19"/>
        <v>92219</v>
      </c>
      <c r="M77" s="26" t="str">
        <f>IF(H77&lt;=$M$9, "स्वतःचा हिस्सा चालू", IF(H77&lt;=$M$8, "शासकीय कॉर्पसमधून पेन्शन", "★ शासनाकडून मोफत पेन्शन (तिजोरीतून)"))</f>
        <v>शासकीय कॉर्पसमधून पेन्शन</v>
      </c>
    </row>
    <row r="78" spans="1:13" x14ac:dyDescent="0.25">
      <c r="A78" s="20">
        <v>16</v>
      </c>
      <c r="B78" s="20">
        <f t="shared" si="14"/>
        <v>2055</v>
      </c>
      <c r="C78" s="20">
        <f t="shared" si="15"/>
        <v>74</v>
      </c>
      <c r="D78" s="61">
        <f t="shared" si="16"/>
        <v>90000</v>
      </c>
      <c r="E78" s="22">
        <f t="shared" si="17"/>
        <v>1.0300000000000005</v>
      </c>
      <c r="F78" s="61">
        <f t="shared" si="12"/>
        <v>182700</v>
      </c>
      <c r="G78" s="61">
        <f t="shared" si="13"/>
        <v>2192400</v>
      </c>
      <c r="H78" s="61">
        <f t="shared" si="18"/>
        <v>29894400</v>
      </c>
      <c r="I78" s="61">
        <f>MAX(0, $M$9-H78)</f>
        <v>0</v>
      </c>
      <c r="J78" s="61">
        <f t="shared" si="20"/>
        <v>92219</v>
      </c>
      <c r="K78" s="61">
        <f t="shared" si="21"/>
        <v>92219</v>
      </c>
      <c r="L78" s="61">
        <f t="shared" si="19"/>
        <v>5533</v>
      </c>
      <c r="M78" s="27" t="str">
        <f>IF(H78&lt;=$M$9, "स्वतःचा हिस्सा चालू", IF(H78&lt;=$M$8, "शासकीय कॉर्पसमधून पेन्शन", "★ शासनाकडून मोफत पेन्शन (तिजोरीतून)"))</f>
        <v>★ शासनाकडून मोफत पेन्शन (तिजोरीतून)</v>
      </c>
    </row>
    <row r="79" spans="1:13" x14ac:dyDescent="0.25">
      <c r="A79" s="17">
        <v>17</v>
      </c>
      <c r="B79" s="17">
        <f t="shared" si="14"/>
        <v>2056</v>
      </c>
      <c r="C79" s="17">
        <f t="shared" si="15"/>
        <v>75</v>
      </c>
      <c r="D79" s="59">
        <f t="shared" si="16"/>
        <v>90000</v>
      </c>
      <c r="E79" s="19">
        <f t="shared" si="17"/>
        <v>1.0700000000000005</v>
      </c>
      <c r="F79" s="59">
        <f t="shared" si="12"/>
        <v>186300</v>
      </c>
      <c r="G79" s="59">
        <f t="shared" si="13"/>
        <v>2235600</v>
      </c>
      <c r="H79" s="59">
        <f t="shared" si="18"/>
        <v>32130000</v>
      </c>
      <c r="I79" s="59">
        <f>MAX(0, $M$9-H79)</f>
        <v>0</v>
      </c>
      <c r="J79" s="61">
        <f t="shared" si="20"/>
        <v>5533</v>
      </c>
      <c r="K79" s="61">
        <f t="shared" si="21"/>
        <v>5533</v>
      </c>
      <c r="L79" s="61">
        <f t="shared" si="19"/>
        <v>332</v>
      </c>
      <c r="M79" s="26" t="str">
        <f>IF(H79&lt;=$M$9, "स्वतःचा हिस्सा चालू", IF(H79&lt;=$M$8, "शासकीय कॉर्पसमधून पेन्शन", "★ शासनाकडून मोफत पेन्शन (तिजोरीतून)"))</f>
        <v>★ शासनाकडून मोफत पेन्शन (तिजोरीतून)</v>
      </c>
    </row>
    <row r="80" spans="1:13" x14ac:dyDescent="0.25">
      <c r="A80" s="20">
        <v>18</v>
      </c>
      <c r="B80" s="20">
        <f t="shared" si="14"/>
        <v>2057</v>
      </c>
      <c r="C80" s="20">
        <f t="shared" si="15"/>
        <v>76</v>
      </c>
      <c r="D80" s="61">
        <f t="shared" si="16"/>
        <v>90000</v>
      </c>
      <c r="E80" s="22">
        <f t="shared" si="17"/>
        <v>1.1100000000000005</v>
      </c>
      <c r="F80" s="61">
        <f t="shared" si="12"/>
        <v>189900</v>
      </c>
      <c r="G80" s="61">
        <f t="shared" si="13"/>
        <v>2278800</v>
      </c>
      <c r="H80" s="61">
        <f t="shared" si="18"/>
        <v>34408800</v>
      </c>
      <c r="I80" s="61">
        <f>MAX(0, $M$9-H80)</f>
        <v>0</v>
      </c>
      <c r="J80" s="61">
        <f t="shared" si="20"/>
        <v>332</v>
      </c>
      <c r="K80" s="61">
        <f t="shared" si="21"/>
        <v>332</v>
      </c>
      <c r="L80" s="61">
        <f t="shared" si="19"/>
        <v>20</v>
      </c>
      <c r="M80" s="27" t="str">
        <f>IF(H80&lt;=$M$9, "स्वतःचा हिस्सा चालू", IF(H80&lt;=$M$8, "शासकीय कॉर्पसमधून पेन्शन", "★ शासनाकडून मोफत पेन्शन (तिजोरीतून)"))</f>
        <v>★ शासनाकडून मोफत पेन्शन (तिजोरीतून)</v>
      </c>
    </row>
    <row r="81" spans="1:13" x14ac:dyDescent="0.25">
      <c r="A81" s="17">
        <v>19</v>
      </c>
      <c r="B81" s="17">
        <f t="shared" si="14"/>
        <v>2058</v>
      </c>
      <c r="C81" s="17">
        <f t="shared" si="15"/>
        <v>77</v>
      </c>
      <c r="D81" s="59">
        <f t="shared" si="16"/>
        <v>90000</v>
      </c>
      <c r="E81" s="19">
        <f t="shared" si="17"/>
        <v>1.1500000000000006</v>
      </c>
      <c r="F81" s="59">
        <f t="shared" si="12"/>
        <v>193500</v>
      </c>
      <c r="G81" s="59">
        <f t="shared" si="13"/>
        <v>2322000</v>
      </c>
      <c r="H81" s="59">
        <f t="shared" si="18"/>
        <v>36730800</v>
      </c>
      <c r="I81" s="59">
        <f>MAX(0, $M$9-H81)</f>
        <v>0</v>
      </c>
      <c r="J81" s="61">
        <f>+L80</f>
        <v>20</v>
      </c>
      <c r="K81" s="61">
        <f t="shared" si="21"/>
        <v>20</v>
      </c>
      <c r="L81" s="61">
        <f t="shared" si="19"/>
        <v>1</v>
      </c>
      <c r="M81" s="26" t="str">
        <f>IF(H81&lt;=$M$9, "स्वतःचा हिस्सा चालू", IF(H81&lt;=$M$8, "शासकीय कॉर्पसमधून पेन्शन", "★ शासनाकडून मोफत पेन्शन (तिजोरीतून)"))</f>
        <v>★ शासनाकडून मोफत पेन्शन (तिजोरीतून)</v>
      </c>
    </row>
    <row r="82" spans="1:13" x14ac:dyDescent="0.25">
      <c r="A82" s="20">
        <v>20</v>
      </c>
      <c r="B82" s="20">
        <f t="shared" si="14"/>
        <v>2059</v>
      </c>
      <c r="C82" s="20">
        <f t="shared" si="15"/>
        <v>78</v>
      </c>
      <c r="D82" s="61">
        <f t="shared" si="16"/>
        <v>90000</v>
      </c>
      <c r="E82" s="22">
        <f t="shared" si="17"/>
        <v>1.1900000000000006</v>
      </c>
      <c r="F82" s="61">
        <f t="shared" si="12"/>
        <v>197100</v>
      </c>
      <c r="G82" s="61">
        <f t="shared" si="13"/>
        <v>2365200</v>
      </c>
      <c r="H82" s="61">
        <f t="shared" si="18"/>
        <v>39096000</v>
      </c>
      <c r="I82" s="61">
        <f>MAX(0, $M$9-H82)</f>
        <v>0</v>
      </c>
      <c r="J82" s="61">
        <f t="shared" si="20"/>
        <v>1</v>
      </c>
      <c r="K82" s="61">
        <f t="shared" si="21"/>
        <v>1</v>
      </c>
      <c r="L82" s="61">
        <f t="shared" si="19"/>
        <v>0</v>
      </c>
      <c r="M82" s="27" t="str">
        <f>IF(H82&lt;=$M$9, "स्वतःचा हिस्सा चालू", IF(H82&lt;=$M$8, "शासकीय कॉर्पसमधून पेन्शन", "★ शासनाकडून मोफत पेन्शन (तिजोरीतून)"))</f>
        <v>★ शासनाकडून मोफत पेन्शन (तिजोरीतून)</v>
      </c>
    </row>
  </sheetData>
  <mergeCells count="28">
    <mergeCell ref="A4:F4"/>
    <mergeCell ref="A12:E12"/>
    <mergeCell ref="H17:L17"/>
    <mergeCell ref="H4:N4"/>
    <mergeCell ref="H11:L11"/>
    <mergeCell ref="H7:L7"/>
    <mergeCell ref="H16:L16"/>
    <mergeCell ref="A5:E5"/>
    <mergeCell ref="A8:E8"/>
    <mergeCell ref="H13:L13"/>
    <mergeCell ref="H12:L12"/>
    <mergeCell ref="A10:E10"/>
    <mergeCell ref="H15:L15"/>
    <mergeCell ref="H14:L14"/>
    <mergeCell ref="A13:E13"/>
    <mergeCell ref="H5:L5"/>
    <mergeCell ref="H10:L10"/>
    <mergeCell ref="A11:E11"/>
    <mergeCell ref="A60:N60"/>
    <mergeCell ref="A6:E6"/>
    <mergeCell ref="A19:P19"/>
    <mergeCell ref="H9:L9"/>
    <mergeCell ref="H6:L6"/>
    <mergeCell ref="A7:E7"/>
    <mergeCell ref="H8:L8"/>
    <mergeCell ref="A9:E9"/>
    <mergeCell ref="M16:N16"/>
    <mergeCell ref="M17:N17"/>
  </mergeCells>
  <pageMargins left="0.75" right="0.75" top="1" bottom="1" header="0.5" footer="0.5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/>
  </sheetViews>
  <sheetFormatPr defaultRowHeight="15" x14ac:dyDescent="0.25"/>
  <cols>
    <col min="1" max="1" width="6" customWidth="1"/>
    <col min="2" max="2" width="28" customWidth="1"/>
    <col min="3" max="4" width="22" customWidth="1"/>
    <col min="5" max="5" width="24" customWidth="1"/>
    <col min="6" max="6" width="22" customWidth="1"/>
    <col min="7" max="7" width="35" customWidth="1"/>
  </cols>
  <sheetData>
    <row r="1" spans="1:7" ht="17.25" x14ac:dyDescent="0.3">
      <c r="A1" s="1" t="s">
        <v>80</v>
      </c>
    </row>
    <row r="2" spans="1:7" x14ac:dyDescent="0.25">
      <c r="A2" s="2" t="s">
        <v>81</v>
      </c>
    </row>
    <row r="4" spans="1:7" x14ac:dyDescent="0.25">
      <c r="A4" s="16" t="s">
        <v>82</v>
      </c>
      <c r="B4" s="16" t="s">
        <v>83</v>
      </c>
      <c r="C4" s="16" t="s">
        <v>84</v>
      </c>
      <c r="D4" s="16" t="s">
        <v>85</v>
      </c>
      <c r="E4" s="16" t="s">
        <v>86</v>
      </c>
      <c r="F4" s="16" t="s">
        <v>87</v>
      </c>
      <c r="G4" s="16" t="s">
        <v>88</v>
      </c>
    </row>
    <row r="5" spans="1:7" ht="24" customHeight="1" x14ac:dyDescent="0.25">
      <c r="A5" s="33">
        <v>1</v>
      </c>
      <c r="B5" s="34" t="s">
        <v>89</v>
      </c>
      <c r="C5" s="35" t="s">
        <v>90</v>
      </c>
      <c r="D5" s="35" t="s">
        <v>91</v>
      </c>
      <c r="E5" s="36" t="s">
        <v>91</v>
      </c>
      <c r="F5" s="35" t="s">
        <v>91</v>
      </c>
      <c r="G5" s="37" t="s">
        <v>92</v>
      </c>
    </row>
    <row r="6" spans="1:7" ht="24" customHeight="1" x14ac:dyDescent="0.25">
      <c r="A6" s="38">
        <v>2</v>
      </c>
      <c r="B6" s="39" t="s">
        <v>93</v>
      </c>
      <c r="C6" s="40" t="s">
        <v>94</v>
      </c>
      <c r="D6" s="40" t="s">
        <v>95</v>
      </c>
      <c r="E6" s="36" t="s">
        <v>95</v>
      </c>
      <c r="F6" s="40" t="s">
        <v>96</v>
      </c>
      <c r="G6" s="41" t="s">
        <v>97</v>
      </c>
    </row>
    <row r="7" spans="1:7" ht="24" customHeight="1" x14ac:dyDescent="0.25">
      <c r="A7" s="33">
        <v>3</v>
      </c>
      <c r="B7" s="34" t="s">
        <v>98</v>
      </c>
      <c r="C7" s="35" t="s">
        <v>99</v>
      </c>
      <c r="D7" s="35" t="s">
        <v>100</v>
      </c>
      <c r="E7" s="36" t="s">
        <v>99</v>
      </c>
      <c r="F7" s="35" t="s">
        <v>101</v>
      </c>
      <c r="G7" s="37" t="s">
        <v>102</v>
      </c>
    </row>
    <row r="8" spans="1:7" ht="24" customHeight="1" x14ac:dyDescent="0.25">
      <c r="A8" s="38">
        <v>4</v>
      </c>
      <c r="B8" s="39" t="s">
        <v>103</v>
      </c>
      <c r="C8" s="40" t="s">
        <v>104</v>
      </c>
      <c r="D8" s="40" t="s">
        <v>105</v>
      </c>
      <c r="E8" s="36" t="s">
        <v>104</v>
      </c>
      <c r="F8" s="40" t="s">
        <v>106</v>
      </c>
      <c r="G8" s="41" t="s">
        <v>107</v>
      </c>
    </row>
    <row r="9" spans="1:7" ht="24" customHeight="1" x14ac:dyDescent="0.25">
      <c r="A9" s="33">
        <v>5</v>
      </c>
      <c r="B9" s="34" t="s">
        <v>108</v>
      </c>
      <c r="C9" s="35" t="s">
        <v>109</v>
      </c>
      <c r="D9" s="35" t="s">
        <v>110</v>
      </c>
      <c r="E9" s="36" t="s">
        <v>111</v>
      </c>
      <c r="F9" s="35" t="s">
        <v>112</v>
      </c>
      <c r="G9" s="37" t="s">
        <v>113</v>
      </c>
    </row>
    <row r="10" spans="1:7" ht="24" customHeight="1" x14ac:dyDescent="0.25">
      <c r="A10" s="38">
        <v>6</v>
      </c>
      <c r="B10" s="39" t="s">
        <v>114</v>
      </c>
      <c r="C10" s="40" t="s">
        <v>115</v>
      </c>
      <c r="D10" s="40" t="s">
        <v>116</v>
      </c>
      <c r="E10" s="36" t="s">
        <v>117</v>
      </c>
      <c r="F10" s="40" t="s">
        <v>118</v>
      </c>
      <c r="G10" s="41" t="s">
        <v>119</v>
      </c>
    </row>
    <row r="11" spans="1:7" ht="24" customHeight="1" x14ac:dyDescent="0.25">
      <c r="A11" s="33">
        <v>7</v>
      </c>
      <c r="B11" s="34" t="s">
        <v>120</v>
      </c>
      <c r="C11" s="35" t="s">
        <v>121</v>
      </c>
      <c r="D11" s="35" t="s">
        <v>122</v>
      </c>
      <c r="E11" s="36" t="s">
        <v>121</v>
      </c>
      <c r="F11" s="35" t="s">
        <v>123</v>
      </c>
      <c r="G11" s="37" t="s">
        <v>124</v>
      </c>
    </row>
    <row r="12" spans="1:7" ht="24" customHeight="1" x14ac:dyDescent="0.25">
      <c r="A12" s="38">
        <v>8</v>
      </c>
      <c r="B12" s="39" t="s">
        <v>125</v>
      </c>
      <c r="C12" s="40" t="s">
        <v>126</v>
      </c>
      <c r="D12" s="40" t="s">
        <v>126</v>
      </c>
      <c r="E12" s="36" t="s">
        <v>126</v>
      </c>
      <c r="F12" s="40" t="s">
        <v>126</v>
      </c>
      <c r="G12" s="41" t="s">
        <v>127</v>
      </c>
    </row>
    <row r="13" spans="1:7" ht="24" customHeight="1" x14ac:dyDescent="0.25">
      <c r="A13" s="33">
        <v>9</v>
      </c>
      <c r="B13" s="34" t="s">
        <v>128</v>
      </c>
      <c r="C13" s="35" t="s">
        <v>129</v>
      </c>
      <c r="D13" s="35" t="s">
        <v>130</v>
      </c>
      <c r="E13" s="36" t="s">
        <v>131</v>
      </c>
      <c r="F13" s="35" t="s">
        <v>132</v>
      </c>
      <c r="G13" s="37" t="s">
        <v>133</v>
      </c>
    </row>
    <row r="14" spans="1:7" ht="24" customHeight="1" x14ac:dyDescent="0.25">
      <c r="A14" s="38">
        <v>10</v>
      </c>
      <c r="B14" s="39" t="s">
        <v>134</v>
      </c>
      <c r="C14" s="40" t="s">
        <v>135</v>
      </c>
      <c r="D14" s="40" t="s">
        <v>136</v>
      </c>
      <c r="E14" s="36" t="s">
        <v>137</v>
      </c>
      <c r="F14" s="40" t="s">
        <v>137</v>
      </c>
      <c r="G14" s="41" t="s">
        <v>138</v>
      </c>
    </row>
    <row r="15" spans="1:7" ht="24" customHeight="1" x14ac:dyDescent="0.25">
      <c r="A15" s="33">
        <v>11</v>
      </c>
      <c r="B15" s="34" t="s">
        <v>139</v>
      </c>
      <c r="C15" s="35" t="s">
        <v>140</v>
      </c>
      <c r="D15" s="35" t="s">
        <v>141</v>
      </c>
      <c r="E15" s="36" t="s">
        <v>142</v>
      </c>
      <c r="F15" s="35" t="s">
        <v>143</v>
      </c>
      <c r="G15" s="37" t="s">
        <v>144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7th_Pay_NPS_RNPS</vt:lpstr>
      <vt:lpstr>8th_Pay_NPS_RNPS</vt:lpstr>
      <vt:lpstr>OPS_NPS_RNPS_UPS_तुलना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Pramod Puri</cp:lastModifiedBy>
  <cp:lastPrinted>2026-10-22T07:37:02Z</cp:lastPrinted>
  <dcterms:created xsi:type="dcterms:W3CDTF">2026-10-22T07:07:08Z</dcterms:created>
  <dcterms:modified xsi:type="dcterms:W3CDTF">2026-10-22T08:22:59Z</dcterms:modified>
</cp:coreProperties>
</file>